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ankz\Desktop\VAV Product Manager\Projects\Quick Select\"/>
    </mc:Choice>
  </mc:AlternateContent>
  <xr:revisionPtr revIDLastSave="0" documentId="13_ncr:1_{47D98F7C-6DBB-4E69-8086-F363A4AABBB5}" xr6:coauthVersionLast="45" xr6:coauthVersionMax="45" xr10:uidLastSave="{00000000-0000-0000-0000-000000000000}"/>
  <bookViews>
    <workbookView xWindow="-120" yWindow="-120" windowWidth="29040" windowHeight="15840" tabRatio="721" xr2:uid="{00000000-000D-0000-FFFF-FFFF00000000}"/>
  </bookViews>
  <sheets>
    <sheet name="Single Duct Quick Select" sheetId="1" r:id="rId1"/>
    <sheet name="Fan Powered Quick Select" sheetId="4" r:id="rId2"/>
    <sheet name="FP Background Data" sheetId="5" state="hidden" r:id="rId3"/>
    <sheet name="VPWF Data" sheetId="6" state="hidden" r:id="rId4"/>
    <sheet name="VSWF Data" sheetId="7" state="hidden" r:id="rId5"/>
    <sheet name="FP Acoustics" sheetId="8" state="hidden" r:id="rId6"/>
    <sheet name="SD Background Data" sheetId="2" state="hidden" r:id="rId7"/>
    <sheet name="VCWF Data" sheetId="9" state="hidden" r:id="rId8"/>
    <sheet name="SD TOPSS Source Data" sheetId="3" state="hidden" r:id="rId9"/>
  </sheets>
  <definedNames>
    <definedName name="_xlnm._FilterDatabase" localSheetId="7" hidden="1">'VCWF Data'!$A$1:$M$145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53" i="1" l="1"/>
  <c r="G53" i="1"/>
  <c r="F53" i="1"/>
  <c r="E53" i="1"/>
  <c r="D53" i="1"/>
  <c r="C53" i="1"/>
  <c r="F51" i="1"/>
  <c r="C51" i="1"/>
  <c r="F46" i="1"/>
  <c r="C46" i="1"/>
  <c r="F41" i="1"/>
  <c r="C41" i="1"/>
  <c r="H48" i="1"/>
  <c r="G48" i="1"/>
  <c r="F48" i="1"/>
  <c r="E48" i="1"/>
  <c r="D48" i="1"/>
  <c r="C48" i="1"/>
  <c r="H43" i="1"/>
  <c r="G43" i="1"/>
  <c r="F43" i="1"/>
  <c r="E43" i="1"/>
  <c r="D43" i="1"/>
  <c r="C43" i="1"/>
  <c r="H38" i="1"/>
  <c r="G38" i="1"/>
  <c r="F38" i="1"/>
  <c r="E38" i="1"/>
  <c r="D38" i="1"/>
  <c r="C38" i="1"/>
  <c r="F36" i="1"/>
  <c r="C36" i="1"/>
  <c r="H30" i="1"/>
  <c r="G30" i="1"/>
  <c r="F30" i="1"/>
  <c r="E30" i="1"/>
  <c r="D30" i="1"/>
  <c r="C30" i="1"/>
  <c r="H26" i="1"/>
  <c r="G26" i="1"/>
  <c r="F26" i="1"/>
  <c r="E26" i="1"/>
  <c r="D26" i="1"/>
  <c r="C26" i="1"/>
  <c r="F19" i="1"/>
  <c r="E19" i="1"/>
  <c r="D19" i="1"/>
  <c r="H13" i="1"/>
  <c r="G13" i="1"/>
  <c r="F13" i="1"/>
  <c r="E13" i="1"/>
  <c r="D13" i="1"/>
  <c r="C13" i="1"/>
  <c r="AX3" i="2" l="1"/>
  <c r="AY3" i="2"/>
  <c r="AZ3" i="2"/>
  <c r="BA3" i="2"/>
  <c r="BB3" i="2"/>
  <c r="BC3" i="2"/>
  <c r="BD3" i="2"/>
  <c r="AX4" i="2"/>
  <c r="AY4" i="2"/>
  <c r="AZ4" i="2"/>
  <c r="BA4" i="2"/>
  <c r="BB4" i="2"/>
  <c r="BC4" i="2"/>
  <c r="BD4" i="2"/>
  <c r="AX5" i="2"/>
  <c r="AY5" i="2"/>
  <c r="AZ5" i="2"/>
  <c r="BA5" i="2"/>
  <c r="BB5" i="2"/>
  <c r="BC5" i="2"/>
  <c r="BD5" i="2"/>
  <c r="AX6" i="2"/>
  <c r="AY6" i="2"/>
  <c r="AZ6" i="2"/>
  <c r="BA6" i="2"/>
  <c r="BB6" i="2"/>
  <c r="BC6" i="2"/>
  <c r="BD6" i="2"/>
  <c r="AX7" i="2"/>
  <c r="AY7" i="2"/>
  <c r="AZ7" i="2"/>
  <c r="BA7" i="2"/>
  <c r="BB7" i="2"/>
  <c r="BC7" i="2"/>
  <c r="BD7" i="2"/>
  <c r="AX8" i="2"/>
  <c r="AY8" i="2"/>
  <c r="AZ8" i="2"/>
  <c r="BA8" i="2"/>
  <c r="BB8" i="2"/>
  <c r="BC8" i="2"/>
  <c r="BD8" i="2"/>
  <c r="AX9" i="2"/>
  <c r="AY9" i="2"/>
  <c r="AZ9" i="2"/>
  <c r="BA9" i="2"/>
  <c r="BB9" i="2"/>
  <c r="BC9" i="2"/>
  <c r="BD9" i="2"/>
  <c r="AX10" i="2"/>
  <c r="AY10" i="2"/>
  <c r="AZ10" i="2"/>
  <c r="BA10" i="2"/>
  <c r="BB10" i="2"/>
  <c r="BC10" i="2"/>
  <c r="BD10" i="2"/>
  <c r="AX11" i="2"/>
  <c r="AY11" i="2"/>
  <c r="AZ11" i="2"/>
  <c r="BA11" i="2"/>
  <c r="BB11" i="2"/>
  <c r="BC11" i="2"/>
  <c r="BD11" i="2"/>
  <c r="AW4" i="2"/>
  <c r="AW5" i="2"/>
  <c r="AW6" i="2"/>
  <c r="AW7" i="2"/>
  <c r="AW8" i="2"/>
  <c r="AW9" i="2"/>
  <c r="AW10" i="2"/>
  <c r="AW11" i="2"/>
  <c r="AW3" i="2"/>
  <c r="AP3" i="2"/>
  <c r="AQ3" i="2"/>
  <c r="AR3" i="2"/>
  <c r="AS3" i="2"/>
  <c r="AT3" i="2"/>
  <c r="AU3" i="2"/>
  <c r="AV3" i="2"/>
  <c r="AP4" i="2"/>
  <c r="AQ4" i="2"/>
  <c r="AR4" i="2"/>
  <c r="AS4" i="2"/>
  <c r="AT4" i="2"/>
  <c r="AU4" i="2"/>
  <c r="AV4" i="2"/>
  <c r="AP5" i="2"/>
  <c r="AQ5" i="2"/>
  <c r="AR5" i="2"/>
  <c r="AS5" i="2"/>
  <c r="AT5" i="2"/>
  <c r="AU5" i="2"/>
  <c r="AV5" i="2"/>
  <c r="AP6" i="2"/>
  <c r="AQ6" i="2"/>
  <c r="AR6" i="2"/>
  <c r="AS6" i="2"/>
  <c r="AT6" i="2"/>
  <c r="AU6" i="2"/>
  <c r="AV6" i="2"/>
  <c r="AP7" i="2"/>
  <c r="AQ7" i="2"/>
  <c r="AR7" i="2"/>
  <c r="AS7" i="2"/>
  <c r="AT7" i="2"/>
  <c r="AU7" i="2"/>
  <c r="AV7" i="2"/>
  <c r="AP8" i="2"/>
  <c r="AQ8" i="2"/>
  <c r="AR8" i="2"/>
  <c r="AS8" i="2"/>
  <c r="AT8" i="2"/>
  <c r="AU8" i="2"/>
  <c r="AV8" i="2"/>
  <c r="AP9" i="2"/>
  <c r="AQ9" i="2"/>
  <c r="AR9" i="2"/>
  <c r="AS9" i="2"/>
  <c r="AT9" i="2"/>
  <c r="AU9" i="2"/>
  <c r="AV9" i="2"/>
  <c r="AP10" i="2"/>
  <c r="AQ10" i="2"/>
  <c r="AR10" i="2"/>
  <c r="AS10" i="2"/>
  <c r="AT10" i="2"/>
  <c r="AU10" i="2"/>
  <c r="AV10" i="2"/>
  <c r="AP11" i="2"/>
  <c r="AQ11" i="2"/>
  <c r="AR11" i="2"/>
  <c r="AS11" i="2"/>
  <c r="AT11" i="2"/>
  <c r="AU11" i="2"/>
  <c r="AV11" i="2"/>
  <c r="AO4" i="2"/>
  <c r="AO5" i="2"/>
  <c r="AO6" i="2"/>
  <c r="AO7" i="2"/>
  <c r="AO8" i="2"/>
  <c r="AO9" i="2"/>
  <c r="AO10" i="2"/>
  <c r="AO11" i="2"/>
  <c r="AO3" i="2"/>
  <c r="AH3" i="2"/>
  <c r="AI3" i="2"/>
  <c r="AJ3" i="2"/>
  <c r="AK3" i="2"/>
  <c r="AL3" i="2"/>
  <c r="AM3" i="2"/>
  <c r="AN3" i="2"/>
  <c r="AH4" i="2"/>
  <c r="AI4" i="2"/>
  <c r="AJ4" i="2"/>
  <c r="AK4" i="2"/>
  <c r="AL4" i="2"/>
  <c r="AM4" i="2"/>
  <c r="AN4" i="2"/>
  <c r="AH5" i="2"/>
  <c r="AI5" i="2"/>
  <c r="AJ5" i="2"/>
  <c r="AK5" i="2"/>
  <c r="AL5" i="2"/>
  <c r="AM5" i="2"/>
  <c r="AN5" i="2"/>
  <c r="AH6" i="2"/>
  <c r="AI6" i="2"/>
  <c r="AJ6" i="2"/>
  <c r="AK6" i="2"/>
  <c r="AL6" i="2"/>
  <c r="AM6" i="2"/>
  <c r="AN6" i="2"/>
  <c r="AH7" i="2"/>
  <c r="AI7" i="2"/>
  <c r="AJ7" i="2"/>
  <c r="AK7" i="2"/>
  <c r="AL7" i="2"/>
  <c r="AM7" i="2"/>
  <c r="AN7" i="2"/>
  <c r="AH8" i="2"/>
  <c r="AI8" i="2"/>
  <c r="AJ8" i="2"/>
  <c r="AK8" i="2"/>
  <c r="AL8" i="2"/>
  <c r="AM8" i="2"/>
  <c r="AN8" i="2"/>
  <c r="AH9" i="2"/>
  <c r="AI9" i="2"/>
  <c r="AJ9" i="2"/>
  <c r="AK9" i="2"/>
  <c r="AL9" i="2"/>
  <c r="AM9" i="2"/>
  <c r="AN9" i="2"/>
  <c r="AH10" i="2"/>
  <c r="AI10" i="2"/>
  <c r="AJ10" i="2"/>
  <c r="AK10" i="2"/>
  <c r="AL10" i="2"/>
  <c r="AM10" i="2"/>
  <c r="AN10" i="2"/>
  <c r="AH11" i="2"/>
  <c r="AI11" i="2"/>
  <c r="AJ11" i="2"/>
  <c r="AK11" i="2"/>
  <c r="AL11" i="2"/>
  <c r="AM11" i="2"/>
  <c r="AN11" i="2"/>
  <c r="AG4" i="2"/>
  <c r="AG5" i="2"/>
  <c r="AG6" i="2"/>
  <c r="AG7" i="2"/>
  <c r="AG8" i="2"/>
  <c r="AG9" i="2"/>
  <c r="AG10" i="2"/>
  <c r="AG11" i="2"/>
  <c r="AG3" i="2"/>
  <c r="Z3" i="2"/>
  <c r="AA3" i="2"/>
  <c r="AB3" i="2"/>
  <c r="AC3" i="2"/>
  <c r="AD3" i="2"/>
  <c r="AE3" i="2"/>
  <c r="AF3" i="2"/>
  <c r="Z4" i="2"/>
  <c r="AA4" i="2"/>
  <c r="AB4" i="2"/>
  <c r="AC4" i="2"/>
  <c r="AD4" i="2"/>
  <c r="AE4" i="2"/>
  <c r="AF4" i="2"/>
  <c r="Z5" i="2"/>
  <c r="AA5" i="2"/>
  <c r="AB5" i="2"/>
  <c r="AC5" i="2"/>
  <c r="AD5" i="2"/>
  <c r="AE5" i="2"/>
  <c r="AF5" i="2"/>
  <c r="Z6" i="2"/>
  <c r="AA6" i="2"/>
  <c r="AB6" i="2"/>
  <c r="AC6" i="2"/>
  <c r="AD6" i="2"/>
  <c r="AE6" i="2"/>
  <c r="AF6" i="2"/>
  <c r="Z7" i="2"/>
  <c r="AA7" i="2"/>
  <c r="AB7" i="2"/>
  <c r="AC7" i="2"/>
  <c r="AD7" i="2"/>
  <c r="AE7" i="2"/>
  <c r="AF7" i="2"/>
  <c r="Z8" i="2"/>
  <c r="AA8" i="2"/>
  <c r="AB8" i="2"/>
  <c r="AC8" i="2"/>
  <c r="AD8" i="2"/>
  <c r="AE8" i="2"/>
  <c r="AF8" i="2"/>
  <c r="Z9" i="2"/>
  <c r="AA9" i="2"/>
  <c r="AB9" i="2"/>
  <c r="AC9" i="2"/>
  <c r="AD9" i="2"/>
  <c r="AE9" i="2"/>
  <c r="AF9" i="2"/>
  <c r="Z10" i="2"/>
  <c r="AA10" i="2"/>
  <c r="AB10" i="2"/>
  <c r="AC10" i="2"/>
  <c r="AD10" i="2"/>
  <c r="AE10" i="2"/>
  <c r="AF10" i="2"/>
  <c r="Z11" i="2"/>
  <c r="AA11" i="2"/>
  <c r="AB11" i="2"/>
  <c r="AC11" i="2"/>
  <c r="AD11" i="2"/>
  <c r="AE11" i="2"/>
  <c r="AF11" i="2"/>
  <c r="Y4" i="2"/>
  <c r="Y5" i="2"/>
  <c r="Y6" i="2"/>
  <c r="Y7" i="2"/>
  <c r="Y8" i="2"/>
  <c r="Y9" i="2"/>
  <c r="Y10" i="2"/>
  <c r="Y11" i="2"/>
  <c r="Y3" i="2"/>
  <c r="V39" i="9"/>
  <c r="V40" i="9"/>
  <c r="V41" i="9"/>
  <c r="V42" i="9"/>
  <c r="V43" i="9"/>
  <c r="V44" i="9"/>
  <c r="V45" i="9"/>
  <c r="V46" i="9"/>
  <c r="V47" i="9"/>
  <c r="U40" i="9"/>
  <c r="U41" i="9"/>
  <c r="U42" i="9"/>
  <c r="U43" i="9"/>
  <c r="U44" i="9"/>
  <c r="U45" i="9"/>
  <c r="U46" i="9"/>
  <c r="U47" i="9"/>
  <c r="U39" i="9"/>
  <c r="S40" i="9"/>
  <c r="S41" i="9"/>
  <c r="S42" i="9"/>
  <c r="S43" i="9"/>
  <c r="S44" i="9"/>
  <c r="S45" i="9"/>
  <c r="S46" i="9"/>
  <c r="S47" i="9"/>
  <c r="S39" i="9"/>
  <c r="R40" i="9"/>
  <c r="R41" i="9"/>
  <c r="R42" i="9"/>
  <c r="R43" i="9"/>
  <c r="R44" i="9"/>
  <c r="R45" i="9"/>
  <c r="R46" i="9"/>
  <c r="R47" i="9"/>
  <c r="R39" i="9"/>
  <c r="P39" i="9"/>
  <c r="P40" i="9"/>
  <c r="P41" i="9"/>
  <c r="P42" i="9"/>
  <c r="P43" i="9"/>
  <c r="P44" i="9"/>
  <c r="P45" i="9"/>
  <c r="P46" i="9"/>
  <c r="P47" i="9"/>
  <c r="O40" i="9"/>
  <c r="O41" i="9"/>
  <c r="O42" i="9"/>
  <c r="O43" i="9"/>
  <c r="O44" i="9"/>
  <c r="O45" i="9"/>
  <c r="O46" i="9"/>
  <c r="O47" i="9"/>
  <c r="O39" i="9"/>
  <c r="T40" i="9"/>
  <c r="T41" i="9"/>
  <c r="T42" i="9"/>
  <c r="T43" i="9"/>
  <c r="T44" i="9"/>
  <c r="T45" i="9"/>
  <c r="T46" i="9"/>
  <c r="T47" i="9"/>
  <c r="T39" i="9"/>
  <c r="Q40" i="9"/>
  <c r="Q41" i="9"/>
  <c r="Q42" i="9"/>
  <c r="Q43" i="9"/>
  <c r="Q44" i="9"/>
  <c r="Q45" i="9"/>
  <c r="Q46" i="9"/>
  <c r="Q47" i="9"/>
  <c r="Q39" i="9"/>
  <c r="U28" i="9"/>
  <c r="U29" i="9"/>
  <c r="U30" i="9"/>
  <c r="U31" i="9"/>
  <c r="U32" i="9"/>
  <c r="U33" i="9"/>
  <c r="U34" i="9"/>
  <c r="U35" i="9"/>
  <c r="U27" i="9"/>
  <c r="V28" i="9"/>
  <c r="V29" i="9"/>
  <c r="V30" i="9"/>
  <c r="V31" i="9"/>
  <c r="V32" i="9"/>
  <c r="V33" i="9"/>
  <c r="V34" i="9"/>
  <c r="V35" i="9"/>
  <c r="V27" i="9"/>
  <c r="S28" i="9"/>
  <c r="S29" i="9"/>
  <c r="S30" i="9"/>
  <c r="S31" i="9"/>
  <c r="S32" i="9"/>
  <c r="S33" i="9"/>
  <c r="S34" i="9"/>
  <c r="S35" i="9"/>
  <c r="S27" i="9"/>
  <c r="R28" i="9"/>
  <c r="R29" i="9"/>
  <c r="R30" i="9"/>
  <c r="R31" i="9"/>
  <c r="R32" i="9"/>
  <c r="R33" i="9"/>
  <c r="R34" i="9"/>
  <c r="R35" i="9"/>
  <c r="R27" i="9"/>
  <c r="P27" i="9"/>
  <c r="P28" i="9"/>
  <c r="P29" i="9"/>
  <c r="P30" i="9"/>
  <c r="P31" i="9"/>
  <c r="P32" i="9"/>
  <c r="P33" i="9"/>
  <c r="P34" i="9"/>
  <c r="P35" i="9"/>
  <c r="O28" i="9"/>
  <c r="O29" i="9"/>
  <c r="O30" i="9"/>
  <c r="O31" i="9"/>
  <c r="O32" i="9"/>
  <c r="O33" i="9"/>
  <c r="O34" i="9"/>
  <c r="O35" i="9"/>
  <c r="O27" i="9"/>
  <c r="T28" i="9"/>
  <c r="T29" i="9"/>
  <c r="T30" i="9"/>
  <c r="T31" i="9"/>
  <c r="T32" i="9"/>
  <c r="T33" i="9"/>
  <c r="T34" i="9"/>
  <c r="T35" i="9"/>
  <c r="T27" i="9"/>
  <c r="Q28" i="9"/>
  <c r="Q29" i="9"/>
  <c r="Q30" i="9"/>
  <c r="Q31" i="9"/>
  <c r="Q32" i="9"/>
  <c r="Q33" i="9"/>
  <c r="Q34" i="9"/>
  <c r="Q35" i="9"/>
  <c r="Q27" i="9"/>
  <c r="V16" i="9"/>
  <c r="V17" i="9"/>
  <c r="V18" i="9"/>
  <c r="V19" i="9"/>
  <c r="V20" i="9"/>
  <c r="V21" i="9"/>
  <c r="V22" i="9"/>
  <c r="V23" i="9"/>
  <c r="V15" i="9"/>
  <c r="U16" i="9"/>
  <c r="U17" i="9"/>
  <c r="U18" i="9"/>
  <c r="U19" i="9"/>
  <c r="U20" i="9"/>
  <c r="U21" i="9"/>
  <c r="U22" i="9"/>
  <c r="U23" i="9"/>
  <c r="U15" i="9"/>
  <c r="T16" i="9"/>
  <c r="T17" i="9"/>
  <c r="T18" i="9"/>
  <c r="T19" i="9"/>
  <c r="T20" i="9"/>
  <c r="T21" i="9"/>
  <c r="T22" i="9"/>
  <c r="T23" i="9"/>
  <c r="T15" i="9"/>
  <c r="S16" i="9"/>
  <c r="S17" i="9"/>
  <c r="S18" i="9"/>
  <c r="S19" i="9"/>
  <c r="S20" i="9"/>
  <c r="S21" i="9"/>
  <c r="S22" i="9"/>
  <c r="S23" i="9"/>
  <c r="S15" i="9"/>
  <c r="Q16" i="9"/>
  <c r="Q17" i="9"/>
  <c r="Q18" i="9"/>
  <c r="Q19" i="9"/>
  <c r="Q20" i="9"/>
  <c r="Q21" i="9"/>
  <c r="Q22" i="9"/>
  <c r="Q23" i="9"/>
  <c r="Q15" i="9"/>
  <c r="R16" i="9"/>
  <c r="R17" i="9"/>
  <c r="R18" i="9"/>
  <c r="R19" i="9"/>
  <c r="R20" i="9"/>
  <c r="R21" i="9"/>
  <c r="R22" i="9"/>
  <c r="R23" i="9"/>
  <c r="R15" i="9"/>
  <c r="P16" i="9"/>
  <c r="P17" i="9"/>
  <c r="P18" i="9"/>
  <c r="P19" i="9"/>
  <c r="P20" i="9"/>
  <c r="P21" i="9"/>
  <c r="P22" i="9"/>
  <c r="P23" i="9"/>
  <c r="P15" i="9"/>
  <c r="O23" i="9"/>
  <c r="O16" i="9"/>
  <c r="O17" i="9"/>
  <c r="O18" i="9"/>
  <c r="O19" i="9"/>
  <c r="O20" i="9"/>
  <c r="O21" i="9"/>
  <c r="O22" i="9"/>
  <c r="O15" i="9"/>
  <c r="V4" i="9"/>
  <c r="V5" i="9"/>
  <c r="V6" i="9"/>
  <c r="V7" i="9"/>
  <c r="V8" i="9"/>
  <c r="V9" i="9"/>
  <c r="V10" i="9"/>
  <c r="V11" i="9"/>
  <c r="V3" i="9"/>
  <c r="U4" i="9"/>
  <c r="U5" i="9"/>
  <c r="U6" i="9"/>
  <c r="U7" i="9"/>
  <c r="U8" i="9"/>
  <c r="U9" i="9"/>
  <c r="U10" i="9"/>
  <c r="U11" i="9"/>
  <c r="U3" i="9"/>
  <c r="T4" i="9"/>
  <c r="T5" i="9"/>
  <c r="T6" i="9"/>
  <c r="T7" i="9"/>
  <c r="T8" i="9"/>
  <c r="T9" i="9"/>
  <c r="T10" i="9"/>
  <c r="T11" i="9"/>
  <c r="T3" i="9"/>
  <c r="S4" i="9"/>
  <c r="S5" i="9"/>
  <c r="S6" i="9"/>
  <c r="S7" i="9"/>
  <c r="S8" i="9"/>
  <c r="S9" i="9"/>
  <c r="S10" i="9"/>
  <c r="S11" i="9"/>
  <c r="S3" i="9"/>
  <c r="R4" i="9"/>
  <c r="R5" i="9"/>
  <c r="R6" i="9"/>
  <c r="R7" i="9"/>
  <c r="R8" i="9"/>
  <c r="R9" i="9"/>
  <c r="R10" i="9"/>
  <c r="R11" i="9"/>
  <c r="Q4" i="9"/>
  <c r="Q5" i="9"/>
  <c r="Q6" i="9"/>
  <c r="Q7" i="9"/>
  <c r="Q8" i="9"/>
  <c r="Q9" i="9"/>
  <c r="Q10" i="9"/>
  <c r="Q11" i="9"/>
  <c r="Q3" i="9"/>
  <c r="R3" i="9"/>
  <c r="P3" i="9"/>
  <c r="O4" i="9"/>
  <c r="O5" i="9"/>
  <c r="O6" i="9"/>
  <c r="O7" i="9"/>
  <c r="O8" i="9"/>
  <c r="O9" i="9"/>
  <c r="O10" i="9"/>
  <c r="O11" i="9"/>
  <c r="O3" i="9"/>
  <c r="P4" i="9"/>
  <c r="P5" i="9"/>
  <c r="P6" i="9"/>
  <c r="P7" i="9"/>
  <c r="P8" i="9"/>
  <c r="P9" i="9"/>
  <c r="P10" i="9"/>
  <c r="P11" i="9"/>
  <c r="F2" i="9"/>
  <c r="F3" i="9"/>
  <c r="F4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145" i="9"/>
  <c r="F144" i="9"/>
  <c r="F143" i="9"/>
  <c r="F142" i="9"/>
  <c r="F141" i="9"/>
  <c r="F140" i="9"/>
  <c r="F139" i="9"/>
  <c r="F138" i="9"/>
  <c r="F137" i="9"/>
  <c r="F136" i="9"/>
  <c r="F135" i="9"/>
  <c r="F134" i="9"/>
  <c r="F133" i="9"/>
  <c r="F132" i="9"/>
  <c r="F131" i="9"/>
  <c r="F130" i="9"/>
  <c r="F129" i="9"/>
  <c r="F128" i="9"/>
  <c r="F127" i="9"/>
  <c r="F126" i="9"/>
  <c r="F125" i="9"/>
  <c r="F124" i="9"/>
  <c r="F123" i="9"/>
  <c r="F122" i="9"/>
  <c r="F121" i="9"/>
  <c r="F120" i="9"/>
  <c r="F119" i="9"/>
  <c r="F118" i="9"/>
  <c r="F117" i="9"/>
  <c r="F116" i="9"/>
  <c r="F115" i="9"/>
  <c r="F114" i="9"/>
  <c r="F113" i="9"/>
  <c r="F112" i="9"/>
  <c r="F111" i="9"/>
  <c r="F110" i="9"/>
  <c r="F109" i="9"/>
  <c r="F108" i="9"/>
  <c r="F107" i="9"/>
  <c r="F106" i="9"/>
  <c r="F105" i="9"/>
  <c r="F104" i="9"/>
  <c r="F103" i="9"/>
  <c r="F102" i="9"/>
  <c r="F101" i="9"/>
  <c r="F100" i="9"/>
  <c r="F99" i="9"/>
  <c r="F98" i="9"/>
  <c r="F97" i="9"/>
  <c r="F96" i="9"/>
  <c r="F95" i="9"/>
  <c r="F94" i="9"/>
  <c r="F93" i="9"/>
  <c r="F92" i="9"/>
  <c r="F91" i="9"/>
  <c r="F90" i="9"/>
  <c r="F89" i="9"/>
  <c r="F88" i="9"/>
  <c r="F87" i="9"/>
  <c r="F86" i="9"/>
  <c r="F85" i="9"/>
  <c r="F84" i="9"/>
  <c r="F83" i="9"/>
  <c r="F82" i="9"/>
  <c r="F81" i="9"/>
  <c r="F80" i="9"/>
  <c r="F79" i="9"/>
  <c r="F78" i="9"/>
  <c r="F77" i="9"/>
  <c r="F76" i="9"/>
  <c r="F75" i="9"/>
  <c r="F74" i="9"/>
  <c r="D16" i="5" l="1"/>
  <c r="E16" i="5" s="1"/>
  <c r="F16" i="5" s="1"/>
  <c r="G16" i="5" s="1"/>
  <c r="H16" i="5" s="1"/>
  <c r="I16" i="5" s="1"/>
  <c r="J16" i="5" s="1"/>
  <c r="K16" i="5" s="1"/>
  <c r="L16" i="5" s="1"/>
  <c r="M16" i="5" s="1"/>
  <c r="N16" i="5" s="1"/>
  <c r="O16" i="5" s="1"/>
  <c r="P16" i="5" s="1"/>
  <c r="Q16" i="5" s="1"/>
  <c r="R16" i="5" s="1"/>
  <c r="S16" i="5" s="1"/>
  <c r="T16" i="5" s="1"/>
  <c r="U16" i="5" s="1"/>
  <c r="V16" i="5" s="1"/>
  <c r="W16" i="5" s="1"/>
  <c r="X16" i="5" s="1"/>
  <c r="Y16" i="5" s="1"/>
  <c r="Z16" i="5" s="1"/>
  <c r="AA16" i="5" s="1"/>
  <c r="AB16" i="5" s="1"/>
  <c r="AC16" i="5" s="1"/>
  <c r="AD16" i="5" s="1"/>
  <c r="AE16" i="5" s="1"/>
  <c r="AF16" i="5" s="1"/>
  <c r="AG16" i="5" s="1"/>
  <c r="AH16" i="5" s="1"/>
  <c r="AI16" i="5" s="1"/>
  <c r="AJ16" i="5" s="1"/>
  <c r="AK16" i="5" s="1"/>
  <c r="AL16" i="5" s="1"/>
  <c r="AM16" i="5" s="1"/>
  <c r="AN16" i="5" s="1"/>
  <c r="AO16" i="5" s="1"/>
  <c r="AP16" i="5" s="1"/>
  <c r="AQ16" i="5" s="1"/>
  <c r="AR16" i="5" s="1"/>
  <c r="AS16" i="5" s="1"/>
  <c r="AT16" i="5" s="1"/>
  <c r="AU16" i="5" s="1"/>
  <c r="AV16" i="5" s="1"/>
  <c r="AW16" i="5" s="1"/>
  <c r="AX16" i="5" s="1"/>
  <c r="AY16" i="5" s="1"/>
  <c r="C16" i="5"/>
  <c r="C21" i="4" l="1"/>
  <c r="C20" i="4"/>
  <c r="M9" i="4"/>
  <c r="T12" i="5"/>
  <c r="U12" i="5"/>
  <c r="W12" i="5"/>
  <c r="X12" i="5"/>
  <c r="Z12" i="5"/>
  <c r="AA12" i="5"/>
  <c r="AB12" i="5"/>
  <c r="AC12" i="5"/>
  <c r="AE12" i="5"/>
  <c r="AF12" i="5"/>
  <c r="AH12" i="5"/>
  <c r="AI12" i="5"/>
  <c r="AJ12" i="5"/>
  <c r="AK12" i="5"/>
  <c r="AM12" i="5"/>
  <c r="AN12" i="5"/>
  <c r="AP12" i="5"/>
  <c r="AQ12" i="5"/>
  <c r="AR12" i="5"/>
  <c r="AS12" i="5"/>
  <c r="AU12" i="5"/>
  <c r="AV12" i="5"/>
  <c r="AX12" i="5"/>
  <c r="AY12" i="5"/>
  <c r="J11" i="4" l="1"/>
  <c r="F35" i="4"/>
  <c r="C35" i="4"/>
  <c r="J35" i="4"/>
  <c r="I35" i="4"/>
  <c r="G39" i="4"/>
  <c r="G35" i="4"/>
  <c r="F39" i="4"/>
  <c r="I39" i="4"/>
  <c r="D39" i="4"/>
  <c r="D35" i="4"/>
  <c r="C39" i="4"/>
  <c r="J39" i="4"/>
  <c r="D31" i="4"/>
  <c r="F24" i="4"/>
  <c r="D24" i="4"/>
  <c r="H24" i="4"/>
  <c r="E31" i="4"/>
  <c r="D25" i="4"/>
  <c r="F25" i="4"/>
  <c r="E18" i="4"/>
  <c r="H25" i="4"/>
  <c r="E27" i="4"/>
  <c r="G19" i="4"/>
  <c r="E19" i="4"/>
  <c r="E21" i="4"/>
  <c r="F21" i="4"/>
  <c r="I21" i="4"/>
  <c r="H21" i="4"/>
  <c r="G21" i="4"/>
  <c r="F18" i="4"/>
  <c r="F19" i="4"/>
  <c r="I19" i="4"/>
  <c r="H19" i="4"/>
  <c r="G18" i="4"/>
  <c r="H18" i="4"/>
  <c r="I18" i="4"/>
  <c r="J18" i="4"/>
  <c r="J19" i="4"/>
  <c r="E20" i="4"/>
  <c r="F20" i="4"/>
  <c r="G20" i="4"/>
  <c r="H20" i="4"/>
  <c r="I20" i="4"/>
  <c r="J20" i="4"/>
  <c r="J21" i="4"/>
  <c r="F11" i="4"/>
  <c r="X14" i="8"/>
  <c r="X20" i="8"/>
  <c r="X22" i="8"/>
  <c r="X4" i="8"/>
  <c r="X5" i="8"/>
  <c r="X7" i="8"/>
  <c r="X8" i="8"/>
  <c r="X9" i="8"/>
  <c r="X10" i="8"/>
  <c r="X12" i="8"/>
  <c r="X13" i="8"/>
  <c r="X15" i="8"/>
  <c r="X16" i="8"/>
  <c r="X17" i="8"/>
  <c r="X18" i="8"/>
  <c r="X19" i="8"/>
  <c r="X21" i="8"/>
  <c r="X23" i="8"/>
  <c r="X24" i="8"/>
  <c r="X25" i="8"/>
  <c r="X26" i="8"/>
  <c r="X27" i="8"/>
  <c r="X28" i="8"/>
  <c r="X29" i="8"/>
  <c r="X30" i="8"/>
  <c r="X31" i="8"/>
  <c r="X32" i="8"/>
  <c r="E5" i="8"/>
  <c r="E6" i="8"/>
  <c r="E9" i="8"/>
  <c r="E10" i="8"/>
  <c r="E11" i="8"/>
  <c r="E3" i="8"/>
  <c r="F13" i="8"/>
  <c r="E13" i="8" s="1"/>
  <c r="F14" i="8"/>
  <c r="E14" i="8" s="1"/>
  <c r="F15" i="8"/>
  <c r="E15" i="8" s="1"/>
  <c r="F16" i="8"/>
  <c r="E16" i="8" s="1"/>
  <c r="F17" i="8"/>
  <c r="E17" i="8" s="1"/>
  <c r="F18" i="8"/>
  <c r="E18" i="8" s="1"/>
  <c r="F19" i="8"/>
  <c r="E19" i="8" s="1"/>
  <c r="F20" i="8"/>
  <c r="E20" i="8" s="1"/>
  <c r="F21" i="8"/>
  <c r="E21" i="8" s="1"/>
  <c r="F22" i="8"/>
  <c r="E22" i="8" s="1"/>
  <c r="F23" i="8"/>
  <c r="E23" i="8" s="1"/>
  <c r="F24" i="8"/>
  <c r="E24" i="8" s="1"/>
  <c r="F25" i="8"/>
  <c r="E25" i="8" s="1"/>
  <c r="F26" i="8"/>
  <c r="E26" i="8" s="1"/>
  <c r="F27" i="8"/>
  <c r="E27" i="8" s="1"/>
  <c r="F28" i="8"/>
  <c r="E28" i="8" s="1"/>
  <c r="F29" i="8"/>
  <c r="E29" i="8" s="1"/>
  <c r="F30" i="8"/>
  <c r="E30" i="8" s="1"/>
  <c r="F31" i="8"/>
  <c r="E31" i="8" s="1"/>
  <c r="F32" i="8"/>
  <c r="E32" i="8" s="1"/>
  <c r="F12" i="8"/>
  <c r="E12" i="8" s="1"/>
  <c r="F8" i="8"/>
  <c r="E8" i="8" s="1"/>
  <c r="F7" i="8"/>
  <c r="F4" i="8"/>
  <c r="E4" i="8" s="1"/>
  <c r="S32" i="8"/>
  <c r="R14" i="8"/>
  <c r="R15" i="8"/>
  <c r="R16" i="8"/>
  <c r="R17" i="8"/>
  <c r="S17" i="8" s="1"/>
  <c r="R18" i="8"/>
  <c r="R19" i="8"/>
  <c r="R20" i="8"/>
  <c r="R21" i="8"/>
  <c r="S21" i="8" s="1"/>
  <c r="R22" i="8"/>
  <c r="S22" i="8" s="1"/>
  <c r="R23" i="8"/>
  <c r="R24" i="8"/>
  <c r="S24" i="8" s="1"/>
  <c r="R25" i="8"/>
  <c r="R26" i="8"/>
  <c r="R27" i="8"/>
  <c r="R28" i="8"/>
  <c r="R29" i="8"/>
  <c r="S29" i="8" s="1"/>
  <c r="R30" i="8"/>
  <c r="S30" i="8" s="1"/>
  <c r="R31" i="8"/>
  <c r="R32" i="8"/>
  <c r="R3" i="8"/>
  <c r="S3" i="8" s="1"/>
  <c r="R4" i="8"/>
  <c r="R5" i="8"/>
  <c r="S5" i="8" s="1"/>
  <c r="R6" i="8"/>
  <c r="S6" i="8" s="1"/>
  <c r="R7" i="8"/>
  <c r="R8" i="8"/>
  <c r="R9" i="8"/>
  <c r="S9" i="8" s="1"/>
  <c r="R10" i="8"/>
  <c r="S10" i="8" s="1"/>
  <c r="R11" i="8"/>
  <c r="S11" i="8" s="1"/>
  <c r="R12" i="8"/>
  <c r="R13" i="8"/>
  <c r="S13" i="8" l="1"/>
  <c r="S8" i="8"/>
  <c r="S31" i="8"/>
  <c r="S23" i="8"/>
  <c r="S7" i="8"/>
  <c r="S25" i="8"/>
  <c r="S16" i="8"/>
  <c r="S15" i="8"/>
  <c r="S14" i="8"/>
  <c r="S4" i="8"/>
  <c r="S28" i="8"/>
  <c r="S27" i="8"/>
  <c r="S19" i="8"/>
  <c r="S26" i="8"/>
  <c r="S18" i="8"/>
  <c r="S12" i="8"/>
  <c r="S20" i="8"/>
  <c r="E7" i="8"/>
  <c r="Q4" i="8"/>
  <c r="Q5" i="8"/>
  <c r="Q6" i="8"/>
  <c r="Q7" i="8"/>
  <c r="Q8" i="8"/>
  <c r="Q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Q24" i="8"/>
  <c r="Q25" i="8"/>
  <c r="Q26" i="8"/>
  <c r="Q27" i="8"/>
  <c r="Q28" i="8"/>
  <c r="Q29" i="8"/>
  <c r="Q30" i="8"/>
  <c r="Q31" i="8"/>
  <c r="Q32" i="8"/>
  <c r="Q3" i="8"/>
  <c r="X3" i="8" l="1"/>
  <c r="AY13" i="5"/>
  <c r="AY14" i="5"/>
  <c r="AY15" i="5"/>
  <c r="AX13" i="5"/>
  <c r="AX14" i="5"/>
  <c r="AX15" i="5"/>
  <c r="AV13" i="5"/>
  <c r="AV14" i="5"/>
  <c r="AV15" i="5"/>
  <c r="AU13" i="5"/>
  <c r="AU14" i="5"/>
  <c r="AU15" i="5"/>
  <c r="AS13" i="5"/>
  <c r="AS14" i="5"/>
  <c r="AS15" i="5"/>
  <c r="AR13" i="5"/>
  <c r="AR14" i="5"/>
  <c r="AR15" i="5"/>
  <c r="AQ13" i="5"/>
  <c r="AQ14" i="5"/>
  <c r="AQ15" i="5"/>
  <c r="AP13" i="5"/>
  <c r="AP14" i="5"/>
  <c r="AP15" i="5"/>
  <c r="AN13" i="5"/>
  <c r="AN14" i="5"/>
  <c r="AN15" i="5"/>
  <c r="AM13" i="5"/>
  <c r="AM14" i="5"/>
  <c r="AM15" i="5"/>
  <c r="AK13" i="5"/>
  <c r="AK14" i="5"/>
  <c r="AK15" i="5"/>
  <c r="AJ13" i="5"/>
  <c r="AJ14" i="5"/>
  <c r="AJ15" i="5"/>
  <c r="AY7" i="5"/>
  <c r="AY8" i="5"/>
  <c r="AY9" i="5"/>
  <c r="AY10" i="5"/>
  <c r="AY11" i="5"/>
  <c r="AY6" i="5"/>
  <c r="AX7" i="5"/>
  <c r="AX8" i="5"/>
  <c r="AX9" i="5"/>
  <c r="AX10" i="5"/>
  <c r="AX11" i="5"/>
  <c r="AX6" i="5"/>
  <c r="AV7" i="5"/>
  <c r="AV8" i="5"/>
  <c r="AV9" i="5"/>
  <c r="AV10" i="5"/>
  <c r="AV11" i="5"/>
  <c r="AV6" i="5"/>
  <c r="AU7" i="5"/>
  <c r="AU8" i="5"/>
  <c r="AU9" i="5"/>
  <c r="AU10" i="5"/>
  <c r="AU11" i="5"/>
  <c r="AU6" i="5"/>
  <c r="AS7" i="5"/>
  <c r="AS8" i="5"/>
  <c r="AS9" i="5"/>
  <c r="AS10" i="5"/>
  <c r="AS11" i="5"/>
  <c r="AS6" i="5"/>
  <c r="AR7" i="5"/>
  <c r="AR8" i="5"/>
  <c r="AR9" i="5"/>
  <c r="AR10" i="5"/>
  <c r="AR11" i="5"/>
  <c r="AR6" i="5"/>
  <c r="AQ11" i="5"/>
  <c r="AQ7" i="5"/>
  <c r="AQ8" i="5"/>
  <c r="AQ9" i="5"/>
  <c r="AQ10" i="5"/>
  <c r="AQ6" i="5"/>
  <c r="AP7" i="5"/>
  <c r="AP8" i="5"/>
  <c r="AP9" i="5"/>
  <c r="AP10" i="5"/>
  <c r="AP11" i="5"/>
  <c r="AP6" i="5"/>
  <c r="AN7" i="5"/>
  <c r="AN8" i="5"/>
  <c r="AN9" i="5"/>
  <c r="AN10" i="5"/>
  <c r="AN11" i="5"/>
  <c r="AN6" i="5"/>
  <c r="AM7" i="5"/>
  <c r="AM8" i="5"/>
  <c r="AM9" i="5"/>
  <c r="AM10" i="5"/>
  <c r="AM11" i="5"/>
  <c r="AM6" i="5"/>
  <c r="AK7" i="5"/>
  <c r="AK8" i="5"/>
  <c r="AK9" i="5"/>
  <c r="AK10" i="5"/>
  <c r="AK11" i="5"/>
  <c r="AK6" i="5"/>
  <c r="AJ7" i="5"/>
  <c r="AJ8" i="5"/>
  <c r="AJ9" i="5"/>
  <c r="AJ10" i="5"/>
  <c r="AJ11" i="5"/>
  <c r="AJ6" i="5"/>
  <c r="AG3" i="7"/>
  <c r="AG4" i="7"/>
  <c r="G4" i="7" s="1"/>
  <c r="AG5" i="7"/>
  <c r="AG6" i="7"/>
  <c r="G6" i="7" s="1"/>
  <c r="AG7" i="7"/>
  <c r="AG8" i="7"/>
  <c r="AG9" i="7"/>
  <c r="AG10" i="7"/>
  <c r="AG11" i="7"/>
  <c r="AG12" i="7"/>
  <c r="AG13" i="7"/>
  <c r="AG14" i="7"/>
  <c r="AG15" i="7"/>
  <c r="AG16" i="7"/>
  <c r="AG17" i="7"/>
  <c r="H5" i="7" s="1"/>
  <c r="AG18" i="7"/>
  <c r="H6" i="7" s="1"/>
  <c r="AG19" i="7"/>
  <c r="H7" i="7" s="1"/>
  <c r="AG20" i="7"/>
  <c r="H8" i="7" s="1"/>
  <c r="AG21" i="7"/>
  <c r="AG22" i="7"/>
  <c r="AG23" i="7"/>
  <c r="AG24" i="7"/>
  <c r="AG25" i="7"/>
  <c r="AG26" i="7"/>
  <c r="AG27" i="7"/>
  <c r="AG28" i="7"/>
  <c r="G13" i="7" s="1"/>
  <c r="AG29" i="7"/>
  <c r="AG30" i="7"/>
  <c r="AG31" i="7"/>
  <c r="G16" i="7" s="1"/>
  <c r="AG32" i="7"/>
  <c r="AG33" i="7"/>
  <c r="AG34" i="7"/>
  <c r="AG35" i="7"/>
  <c r="AG36" i="7"/>
  <c r="AG37" i="7"/>
  <c r="AG38" i="7"/>
  <c r="AG39" i="7"/>
  <c r="H12" i="7" s="1"/>
  <c r="AG40" i="7"/>
  <c r="H13" i="7" s="1"/>
  <c r="AG41" i="7"/>
  <c r="H14" i="7" s="1"/>
  <c r="AG42" i="7"/>
  <c r="H15" i="7" s="1"/>
  <c r="AG43" i="7"/>
  <c r="AG44" i="7"/>
  <c r="H17" i="7" s="1"/>
  <c r="AG45" i="7"/>
  <c r="AG46" i="7"/>
  <c r="AG47" i="7"/>
  <c r="AG48" i="7"/>
  <c r="AG49" i="7"/>
  <c r="AG50" i="7"/>
  <c r="F29" i="7"/>
  <c r="AW13" i="5" s="1"/>
  <c r="H39" i="4" s="1"/>
  <c r="F30" i="7"/>
  <c r="AC84" i="7" s="1"/>
  <c r="AB84" i="7" s="1"/>
  <c r="F31" i="7"/>
  <c r="AC85" i="7" s="1"/>
  <c r="AB85" i="7" s="1"/>
  <c r="F28" i="7"/>
  <c r="AW12" i="5" s="1"/>
  <c r="E29" i="7"/>
  <c r="AC71" i="7" s="1"/>
  <c r="AB71" i="7" s="1"/>
  <c r="E30" i="7"/>
  <c r="AC76" i="7" s="1"/>
  <c r="AB76" i="7" s="1"/>
  <c r="E31" i="7"/>
  <c r="AC77" i="7" s="1"/>
  <c r="AB77" i="7" s="1"/>
  <c r="E28" i="7"/>
  <c r="F22" i="7"/>
  <c r="AO13" i="5" s="1"/>
  <c r="H35" i="4" s="1"/>
  <c r="F23" i="7"/>
  <c r="AO14" i="5" s="1"/>
  <c r="F24" i="7"/>
  <c r="AC69" i="7" s="1"/>
  <c r="AB69" i="7" s="1"/>
  <c r="F21" i="7"/>
  <c r="E22" i="7"/>
  <c r="AC55" i="7" s="1"/>
  <c r="AB55" i="7" s="1"/>
  <c r="E23" i="7"/>
  <c r="AC60" i="7" s="1"/>
  <c r="AB60" i="7" s="1"/>
  <c r="E24" i="7"/>
  <c r="AC61" i="7" s="1"/>
  <c r="AB61" i="7" s="1"/>
  <c r="E21" i="7"/>
  <c r="F13" i="7"/>
  <c r="AC46" i="7" s="1"/>
  <c r="AB46" i="7" s="1"/>
  <c r="F14" i="7"/>
  <c r="AW8" i="5" s="1"/>
  <c r="F15" i="7"/>
  <c r="AC42" i="7" s="1"/>
  <c r="AB42" i="7" s="1"/>
  <c r="F16" i="7"/>
  <c r="AC49" i="7" s="1"/>
  <c r="AB49" i="7" s="1"/>
  <c r="F17" i="7"/>
  <c r="AC50" i="7" s="1"/>
  <c r="AB50" i="7" s="1"/>
  <c r="F12" i="7"/>
  <c r="AC45" i="7" s="1"/>
  <c r="AB45" i="7" s="1"/>
  <c r="E13" i="7"/>
  <c r="AC34" i="7" s="1"/>
  <c r="AB34" i="7" s="1"/>
  <c r="E14" i="7"/>
  <c r="AC35" i="7" s="1"/>
  <c r="AB35" i="7" s="1"/>
  <c r="E15" i="7"/>
  <c r="AT9" i="5" s="1"/>
  <c r="E16" i="7"/>
  <c r="AC37" i="7" s="1"/>
  <c r="AB37" i="7" s="1"/>
  <c r="E17" i="7"/>
  <c r="AC38" i="7" s="1"/>
  <c r="AB38" i="7" s="1"/>
  <c r="E12" i="7"/>
  <c r="AC33" i="7" s="1"/>
  <c r="AB33" i="7" s="1"/>
  <c r="F4" i="7"/>
  <c r="AC16" i="7" s="1"/>
  <c r="AB16" i="7" s="1"/>
  <c r="F5" i="7"/>
  <c r="AC23" i="7" s="1"/>
  <c r="AB23" i="7" s="1"/>
  <c r="F6" i="7"/>
  <c r="AC18" i="7" s="1"/>
  <c r="AB18" i="7" s="1"/>
  <c r="F7" i="7"/>
  <c r="AC25" i="7" s="1"/>
  <c r="AB25" i="7" s="1"/>
  <c r="F8" i="7"/>
  <c r="AO11" i="5" s="1"/>
  <c r="F3" i="7"/>
  <c r="AC21" i="7" s="1"/>
  <c r="AB21" i="7" s="1"/>
  <c r="E4" i="7"/>
  <c r="AC4" i="7" s="1"/>
  <c r="AB4" i="7" s="1"/>
  <c r="E5" i="7"/>
  <c r="AC11" i="7" s="1"/>
  <c r="AB11" i="7" s="1"/>
  <c r="E6" i="7"/>
  <c r="AC12" i="7" s="1"/>
  <c r="AB12" i="7" s="1"/>
  <c r="E7" i="7"/>
  <c r="AC7" i="7" s="1"/>
  <c r="AB7" i="7" s="1"/>
  <c r="E8" i="7"/>
  <c r="AC8" i="7" s="1"/>
  <c r="AB8" i="7" s="1"/>
  <c r="E3" i="7"/>
  <c r="AC3" i="7" s="1"/>
  <c r="AB3" i="7" s="1"/>
  <c r="AG85" i="7"/>
  <c r="AG84" i="7"/>
  <c r="AG83" i="7"/>
  <c r="AG82" i="7"/>
  <c r="AG81" i="7"/>
  <c r="H31" i="7" s="1"/>
  <c r="AG80" i="7"/>
  <c r="H30" i="7" s="1"/>
  <c r="AG79" i="7"/>
  <c r="H29" i="7" s="1"/>
  <c r="AG78" i="7"/>
  <c r="H28" i="7" s="1"/>
  <c r="AG77" i="7"/>
  <c r="AG76" i="7"/>
  <c r="AG75" i="7"/>
  <c r="AC75" i="7"/>
  <c r="AB75" i="7" s="1"/>
  <c r="AG74" i="7"/>
  <c r="AG73" i="7"/>
  <c r="G31" i="7" s="1"/>
  <c r="AG72" i="7"/>
  <c r="AG71" i="7"/>
  <c r="G29" i="7" s="1"/>
  <c r="AG70" i="7"/>
  <c r="G28" i="7" s="1"/>
  <c r="AG69" i="7"/>
  <c r="AG68" i="7"/>
  <c r="AG67" i="7"/>
  <c r="AG66" i="7"/>
  <c r="AG65" i="7"/>
  <c r="H24" i="7" s="1"/>
  <c r="AG64" i="7"/>
  <c r="H23" i="7" s="1"/>
  <c r="AG63" i="7"/>
  <c r="AG62" i="7"/>
  <c r="AG61" i="7"/>
  <c r="AG60" i="7"/>
  <c r="AG59" i="7"/>
  <c r="AG58" i="7"/>
  <c r="AG57" i="7"/>
  <c r="G24" i="7" s="1"/>
  <c r="AG56" i="7"/>
  <c r="AG55" i="7"/>
  <c r="AG54" i="7"/>
  <c r="G21" i="7" s="1"/>
  <c r="H16" i="7"/>
  <c r="P31" i="7"/>
  <c r="O31" i="7"/>
  <c r="N31" i="7"/>
  <c r="M31" i="7"/>
  <c r="L31" i="7"/>
  <c r="K31" i="7"/>
  <c r="P30" i="7"/>
  <c r="O30" i="7"/>
  <c r="N30" i="7"/>
  <c r="M30" i="7"/>
  <c r="L30" i="7"/>
  <c r="K30" i="7"/>
  <c r="G30" i="7"/>
  <c r="G14" i="7"/>
  <c r="P29" i="7"/>
  <c r="O29" i="7"/>
  <c r="N29" i="7"/>
  <c r="M29" i="7"/>
  <c r="L29" i="7"/>
  <c r="K29" i="7"/>
  <c r="P28" i="7"/>
  <c r="O28" i="7"/>
  <c r="N28" i="7"/>
  <c r="M28" i="7"/>
  <c r="L28" i="7"/>
  <c r="K28" i="7"/>
  <c r="G12" i="7"/>
  <c r="P24" i="7"/>
  <c r="O24" i="7"/>
  <c r="N24" i="7"/>
  <c r="M24" i="7"/>
  <c r="L24" i="7"/>
  <c r="K24" i="7"/>
  <c r="P23" i="7"/>
  <c r="O23" i="7"/>
  <c r="N23" i="7"/>
  <c r="M23" i="7"/>
  <c r="L23" i="7"/>
  <c r="K23" i="7"/>
  <c r="G23" i="7"/>
  <c r="P22" i="7"/>
  <c r="O22" i="7"/>
  <c r="N22" i="7"/>
  <c r="M22" i="7"/>
  <c r="L22" i="7"/>
  <c r="K22" i="7"/>
  <c r="H22" i="7"/>
  <c r="G22" i="7"/>
  <c r="P21" i="7"/>
  <c r="O21" i="7"/>
  <c r="N21" i="7"/>
  <c r="M21" i="7"/>
  <c r="L21" i="7"/>
  <c r="K21" i="7"/>
  <c r="H21" i="7"/>
  <c r="P17" i="7"/>
  <c r="O17" i="7"/>
  <c r="N17" i="7"/>
  <c r="M17" i="7"/>
  <c r="K17" i="7"/>
  <c r="G17" i="7"/>
  <c r="H4" i="7"/>
  <c r="P16" i="7"/>
  <c r="O16" i="7"/>
  <c r="N16" i="7"/>
  <c r="M16" i="7"/>
  <c r="K16" i="7"/>
  <c r="P15" i="7"/>
  <c r="O15" i="7"/>
  <c r="N15" i="7"/>
  <c r="M15" i="7"/>
  <c r="K15" i="7"/>
  <c r="G15" i="7"/>
  <c r="P14" i="7"/>
  <c r="O14" i="7"/>
  <c r="N14" i="7"/>
  <c r="M14" i="7"/>
  <c r="K14" i="7"/>
  <c r="P13" i="7"/>
  <c r="O13" i="7"/>
  <c r="N13" i="7"/>
  <c r="M13" i="7"/>
  <c r="K13" i="7"/>
  <c r="P12" i="7"/>
  <c r="O12" i="7"/>
  <c r="N12" i="7"/>
  <c r="M12" i="7"/>
  <c r="L12" i="7" a="1"/>
  <c r="L12" i="7" s="1"/>
  <c r="K12" i="7"/>
  <c r="P8" i="7"/>
  <c r="O8" i="7"/>
  <c r="N8" i="7"/>
  <c r="M8" i="7"/>
  <c r="L8" i="7"/>
  <c r="K8" i="7"/>
  <c r="G8" i="7"/>
  <c r="G7" i="7"/>
  <c r="P7" i="7"/>
  <c r="O7" i="7"/>
  <c r="N7" i="7"/>
  <c r="M7" i="7"/>
  <c r="L7" i="7"/>
  <c r="K7" i="7"/>
  <c r="P6" i="7"/>
  <c r="O6" i="7"/>
  <c r="N6" i="7"/>
  <c r="M6" i="7"/>
  <c r="L6" i="7"/>
  <c r="K6" i="7"/>
  <c r="G5" i="7"/>
  <c r="P5" i="7"/>
  <c r="O5" i="7"/>
  <c r="N5" i="7"/>
  <c r="M5" i="7"/>
  <c r="L5" i="7"/>
  <c r="K5" i="7"/>
  <c r="P4" i="7"/>
  <c r="O4" i="7"/>
  <c r="N4" i="7"/>
  <c r="M4" i="7"/>
  <c r="L4" i="7"/>
  <c r="K4" i="7"/>
  <c r="G3" i="7"/>
  <c r="P3" i="7"/>
  <c r="O3" i="7"/>
  <c r="N3" i="7"/>
  <c r="M3" i="7"/>
  <c r="L3" i="7"/>
  <c r="K3" i="7"/>
  <c r="H3" i="7"/>
  <c r="AI13" i="5"/>
  <c r="AI14" i="5"/>
  <c r="AI15" i="5"/>
  <c r="AH13" i="5"/>
  <c r="AH14" i="5"/>
  <c r="AH15" i="5"/>
  <c r="AF13" i="5"/>
  <c r="AF14" i="5"/>
  <c r="AF15" i="5"/>
  <c r="AE13" i="5"/>
  <c r="AE14" i="5"/>
  <c r="AE15" i="5"/>
  <c r="AC13" i="5"/>
  <c r="AC14" i="5"/>
  <c r="AC48" i="7" l="1"/>
  <c r="AB48" i="7" s="1"/>
  <c r="AC66" i="7"/>
  <c r="AB66" i="7" s="1"/>
  <c r="AO12" i="5"/>
  <c r="AC58" i="7"/>
  <c r="AB58" i="7" s="1"/>
  <c r="AL12" i="5"/>
  <c r="AC74" i="7"/>
  <c r="AB74" i="7" s="1"/>
  <c r="AT12" i="5"/>
  <c r="AC26" i="7"/>
  <c r="AB26" i="7" s="1"/>
  <c r="AC30" i="7"/>
  <c r="AB30" i="7" s="1"/>
  <c r="AC63" i="7"/>
  <c r="AB63" i="7" s="1"/>
  <c r="AC36" i="7"/>
  <c r="AB36" i="7" s="1"/>
  <c r="AC83" i="7"/>
  <c r="AB83" i="7" s="1"/>
  <c r="AW10" i="5"/>
  <c r="AW9" i="5"/>
  <c r="AW7" i="5"/>
  <c r="AC41" i="7"/>
  <c r="AB41" i="7" s="1"/>
  <c r="AL8" i="5"/>
  <c r="AL7" i="5"/>
  <c r="AL13" i="5"/>
  <c r="E35" i="4" s="1"/>
  <c r="AC44" i="7"/>
  <c r="AB44" i="7" s="1"/>
  <c r="AL6" i="5"/>
  <c r="AT6" i="5"/>
  <c r="AL11" i="5"/>
  <c r="AT11" i="5"/>
  <c r="AO15" i="5"/>
  <c r="AW15" i="5"/>
  <c r="AC68" i="7"/>
  <c r="AB68" i="7" s="1"/>
  <c r="AC82" i="7"/>
  <c r="AB82" i="7" s="1"/>
  <c r="AL10" i="5"/>
  <c r="AO6" i="5"/>
  <c r="AT10" i="5"/>
  <c r="AW6" i="5"/>
  <c r="AW14" i="5"/>
  <c r="AC6" i="7"/>
  <c r="AB6" i="7" s="1"/>
  <c r="AL9" i="5"/>
  <c r="AW11" i="5"/>
  <c r="AO10" i="5"/>
  <c r="AT15" i="5"/>
  <c r="AT8" i="5"/>
  <c r="AO9" i="5"/>
  <c r="AT7" i="5"/>
  <c r="AL15" i="5"/>
  <c r="AO8" i="5"/>
  <c r="AL14" i="5"/>
  <c r="AT14" i="5"/>
  <c r="AT13" i="5"/>
  <c r="E39" i="4" s="1"/>
  <c r="AO7" i="5"/>
  <c r="AC59" i="7"/>
  <c r="AB59" i="7" s="1"/>
  <c r="AC32" i="7"/>
  <c r="AB32" i="7" s="1"/>
  <c r="AC14" i="7"/>
  <c r="AB14" i="7" s="1"/>
  <c r="AC40" i="7"/>
  <c r="AB40" i="7" s="1"/>
  <c r="AC10" i="7"/>
  <c r="AB10" i="7" s="1"/>
  <c r="AC5" i="7"/>
  <c r="AB5" i="7" s="1"/>
  <c r="AC13" i="7"/>
  <c r="AB13" i="7" s="1"/>
  <c r="AC19" i="7"/>
  <c r="AB19" i="7" s="1"/>
  <c r="AC27" i="7"/>
  <c r="AB27" i="7" s="1"/>
  <c r="AC29" i="7"/>
  <c r="AB29" i="7" s="1"/>
  <c r="AC31" i="7"/>
  <c r="AB31" i="7" s="1"/>
  <c r="AC39" i="7"/>
  <c r="AB39" i="7" s="1"/>
  <c r="AC43" i="7"/>
  <c r="AB43" i="7" s="1"/>
  <c r="AC47" i="7"/>
  <c r="AB47" i="7" s="1"/>
  <c r="AC54" i="7"/>
  <c r="AB54" i="7" s="1"/>
  <c r="AC62" i="7"/>
  <c r="AB62" i="7" s="1"/>
  <c r="AC70" i="7"/>
  <c r="AB70" i="7" s="1"/>
  <c r="AC78" i="7"/>
  <c r="AB78" i="7" s="1"/>
  <c r="AC67" i="7"/>
  <c r="AB67" i="7" s="1"/>
  <c r="AC79" i="7"/>
  <c r="AB79" i="7" s="1"/>
  <c r="AC22" i="7"/>
  <c r="AB22" i="7" s="1"/>
  <c r="AC9" i="7"/>
  <c r="AB9" i="7" s="1"/>
  <c r="AC17" i="7"/>
  <c r="AB17" i="7" s="1"/>
  <c r="AC28" i="7"/>
  <c r="AB28" i="7" s="1"/>
  <c r="AC56" i="7"/>
  <c r="AB56" i="7" s="1"/>
  <c r="AC64" i="7"/>
  <c r="AB64" i="7" s="1"/>
  <c r="AC72" i="7"/>
  <c r="AB72" i="7" s="1"/>
  <c r="AC80" i="7"/>
  <c r="AB80" i="7" s="1"/>
  <c r="AC20" i="7"/>
  <c r="AB20" i="7" s="1"/>
  <c r="AC24" i="7"/>
  <c r="AB24" i="7" s="1"/>
  <c r="AC15" i="7"/>
  <c r="AB15" i="7" s="1"/>
  <c r="AC57" i="7"/>
  <c r="AB57" i="7" s="1"/>
  <c r="AC65" i="7"/>
  <c r="AB65" i="7" s="1"/>
  <c r="AC73" i="7"/>
  <c r="AB73" i="7" s="1"/>
  <c r="AC81" i="7"/>
  <c r="AB81" i="7" s="1"/>
  <c r="AB13" i="5" l="1"/>
  <c r="AB14" i="5"/>
  <c r="AB15" i="5"/>
  <c r="AA13" i="5"/>
  <c r="AA14" i="5"/>
  <c r="AA15" i="5"/>
  <c r="X13" i="5"/>
  <c r="X14" i="5"/>
  <c r="X15" i="5"/>
  <c r="T13" i="5"/>
  <c r="T14" i="5"/>
  <c r="T15" i="5"/>
  <c r="AI7" i="5"/>
  <c r="AI8" i="5"/>
  <c r="AI9" i="5"/>
  <c r="AI10" i="5"/>
  <c r="AI11" i="5"/>
  <c r="AI6" i="5"/>
  <c r="AH7" i="5"/>
  <c r="AH8" i="5"/>
  <c r="AH9" i="5"/>
  <c r="AH10" i="5"/>
  <c r="AH11" i="5"/>
  <c r="AH6" i="5"/>
  <c r="AF7" i="5"/>
  <c r="AF8" i="5"/>
  <c r="AF9" i="5"/>
  <c r="AF10" i="5"/>
  <c r="AF11" i="5"/>
  <c r="AF6" i="5"/>
  <c r="AE7" i="5"/>
  <c r="AE8" i="5"/>
  <c r="AE9" i="5"/>
  <c r="AE10" i="5"/>
  <c r="AE11" i="5"/>
  <c r="AE6" i="5"/>
  <c r="AC7" i="5"/>
  <c r="AC8" i="5"/>
  <c r="AC9" i="5"/>
  <c r="AC10" i="5"/>
  <c r="AC11" i="5"/>
  <c r="AC6" i="5"/>
  <c r="AB7" i="5"/>
  <c r="AB8" i="5"/>
  <c r="AB9" i="5"/>
  <c r="AB10" i="5"/>
  <c r="AB11" i="5"/>
  <c r="AB6" i="5"/>
  <c r="W7" i="5"/>
  <c r="W8" i="5"/>
  <c r="W9" i="5"/>
  <c r="W10" i="5"/>
  <c r="W11" i="5"/>
  <c r="W6" i="5"/>
  <c r="U7" i="5"/>
  <c r="U8" i="5"/>
  <c r="U9" i="5"/>
  <c r="U10" i="5"/>
  <c r="U11" i="5"/>
  <c r="U6" i="5"/>
  <c r="T7" i="5"/>
  <c r="T8" i="5"/>
  <c r="T9" i="5"/>
  <c r="T10" i="5"/>
  <c r="T11" i="5"/>
  <c r="T6" i="5"/>
  <c r="AA7" i="5"/>
  <c r="AA8" i="5"/>
  <c r="AA9" i="5"/>
  <c r="AA10" i="5"/>
  <c r="AA11" i="5"/>
  <c r="AA6" i="5"/>
  <c r="Z7" i="5"/>
  <c r="Z8" i="5"/>
  <c r="Z9" i="5"/>
  <c r="Z10" i="5"/>
  <c r="Z11" i="5"/>
  <c r="Z6" i="5"/>
  <c r="N29" i="6"/>
  <c r="O29" i="6"/>
  <c r="P29" i="6"/>
  <c r="N30" i="6"/>
  <c r="O30" i="6"/>
  <c r="P30" i="6"/>
  <c r="N31" i="6"/>
  <c r="O31" i="6"/>
  <c r="P31" i="6"/>
  <c r="P28" i="6"/>
  <c r="O28" i="6"/>
  <c r="N28" i="6"/>
  <c r="M29" i="6"/>
  <c r="M30" i="6"/>
  <c r="M31" i="6"/>
  <c r="M28" i="6"/>
  <c r="N22" i="6"/>
  <c r="O22" i="6"/>
  <c r="Z13" i="5" s="1"/>
  <c r="P22" i="6"/>
  <c r="N23" i="6"/>
  <c r="O23" i="6"/>
  <c r="P23" i="6"/>
  <c r="N24" i="6"/>
  <c r="O24" i="6"/>
  <c r="Z15" i="5" s="1"/>
  <c r="P24" i="6"/>
  <c r="P21" i="6"/>
  <c r="O21" i="6"/>
  <c r="N21" i="6"/>
  <c r="M22" i="6"/>
  <c r="W13" i="5" s="1"/>
  <c r="M23" i="6"/>
  <c r="W14" i="5" s="1"/>
  <c r="M24" i="6"/>
  <c r="W15" i="5" s="1"/>
  <c r="M21" i="6"/>
  <c r="L29" i="6"/>
  <c r="L30" i="6"/>
  <c r="L31" i="6"/>
  <c r="L28" i="6"/>
  <c r="K31" i="6"/>
  <c r="AC15" i="5" s="1"/>
  <c r="K29" i="6"/>
  <c r="K30" i="6"/>
  <c r="K28" i="6"/>
  <c r="L22" i="6"/>
  <c r="L23" i="6"/>
  <c r="U14" i="5" s="1"/>
  <c r="L24" i="6"/>
  <c r="L21" i="6"/>
  <c r="K22" i="6"/>
  <c r="K23" i="6"/>
  <c r="K24" i="6"/>
  <c r="K21" i="6"/>
  <c r="H29" i="6"/>
  <c r="H30" i="6"/>
  <c r="H31" i="6"/>
  <c r="H28" i="6"/>
  <c r="G29" i="6"/>
  <c r="G30" i="6"/>
  <c r="G31" i="6"/>
  <c r="G28" i="6"/>
  <c r="H22" i="6"/>
  <c r="H23" i="6"/>
  <c r="H24" i="6"/>
  <c r="H21" i="6"/>
  <c r="G22" i="6"/>
  <c r="G23" i="6"/>
  <c r="G24" i="6"/>
  <c r="G21" i="6"/>
  <c r="Z14" i="5" l="1"/>
  <c r="U15" i="5"/>
  <c r="U13" i="5"/>
  <c r="AF55" i="6" l="1"/>
  <c r="AF56" i="6"/>
  <c r="AF57" i="6"/>
  <c r="AF58" i="6"/>
  <c r="AF59" i="6"/>
  <c r="AF60" i="6"/>
  <c r="AF61" i="6"/>
  <c r="AF62" i="6"/>
  <c r="AF63" i="6"/>
  <c r="AF64" i="6"/>
  <c r="AF65" i="6"/>
  <c r="AF66" i="6"/>
  <c r="AF67" i="6"/>
  <c r="AF68" i="6"/>
  <c r="AF69" i="6"/>
  <c r="AF70" i="6"/>
  <c r="AF71" i="6"/>
  <c r="AF72" i="6"/>
  <c r="AF73" i="6"/>
  <c r="AF74" i="6"/>
  <c r="AF75" i="6"/>
  <c r="AF76" i="6"/>
  <c r="AF77" i="6"/>
  <c r="AF78" i="6"/>
  <c r="AF79" i="6"/>
  <c r="AF80" i="6"/>
  <c r="AF81" i="6"/>
  <c r="AF82" i="6"/>
  <c r="AF83" i="6"/>
  <c r="AF84" i="6"/>
  <c r="AF85" i="6"/>
  <c r="AF54" i="6"/>
  <c r="E29" i="6"/>
  <c r="E30" i="6"/>
  <c r="E31" i="6"/>
  <c r="E28" i="6"/>
  <c r="AD12" i="5" s="1"/>
  <c r="E22" i="6"/>
  <c r="E23" i="6"/>
  <c r="E24" i="6"/>
  <c r="E21" i="6"/>
  <c r="V12" i="5" s="1"/>
  <c r="P13" i="6"/>
  <c r="P14" i="6"/>
  <c r="P15" i="6"/>
  <c r="P16" i="6"/>
  <c r="P17" i="6"/>
  <c r="P12" i="6"/>
  <c r="O13" i="6"/>
  <c r="O14" i="6"/>
  <c r="O15" i="6"/>
  <c r="O16" i="6"/>
  <c r="O17" i="6"/>
  <c r="O12" i="6"/>
  <c r="N13" i="6"/>
  <c r="N14" i="6"/>
  <c r="N15" i="6"/>
  <c r="N16" i="6"/>
  <c r="N17" i="6"/>
  <c r="N12" i="6"/>
  <c r="M13" i="6"/>
  <c r="M14" i="6"/>
  <c r="M15" i="6"/>
  <c r="M16" i="6"/>
  <c r="M17" i="6"/>
  <c r="M12" i="6"/>
  <c r="L12" i="6" a="1"/>
  <c r="L12" i="6" s="1"/>
  <c r="K13" i="6"/>
  <c r="K14" i="6"/>
  <c r="K15" i="6"/>
  <c r="K16" i="6"/>
  <c r="K17" i="6"/>
  <c r="K12" i="6"/>
  <c r="H13" i="6"/>
  <c r="H14" i="6"/>
  <c r="H15" i="6"/>
  <c r="H16" i="6"/>
  <c r="H17" i="6"/>
  <c r="H12" i="6"/>
  <c r="G13" i="6"/>
  <c r="G14" i="6"/>
  <c r="G15" i="6"/>
  <c r="G16" i="6"/>
  <c r="G17" i="6"/>
  <c r="G12" i="6"/>
  <c r="P4" i="6"/>
  <c r="P5" i="6"/>
  <c r="P6" i="6"/>
  <c r="P7" i="6"/>
  <c r="P8" i="6"/>
  <c r="P3" i="6"/>
  <c r="O4" i="6"/>
  <c r="O5" i="6"/>
  <c r="O6" i="6"/>
  <c r="O7" i="6"/>
  <c r="O8" i="6"/>
  <c r="O3" i="6"/>
  <c r="N4" i="6"/>
  <c r="N5" i="6"/>
  <c r="N6" i="6"/>
  <c r="N7" i="6"/>
  <c r="N8" i="6"/>
  <c r="N3" i="6"/>
  <c r="M4" i="6"/>
  <c r="M5" i="6"/>
  <c r="M6" i="6"/>
  <c r="M7" i="6"/>
  <c r="M8" i="6"/>
  <c r="M3" i="6"/>
  <c r="L4" i="6"/>
  <c r="L5" i="6"/>
  <c r="L6" i="6"/>
  <c r="L7" i="6"/>
  <c r="L8" i="6"/>
  <c r="L3" i="6"/>
  <c r="K4" i="6"/>
  <c r="K5" i="6"/>
  <c r="K6" i="6"/>
  <c r="K7" i="6"/>
  <c r="K8" i="6"/>
  <c r="K3" i="6"/>
  <c r="G7" i="6"/>
  <c r="X10" i="5" s="1"/>
  <c r="G8" i="6"/>
  <c r="X11" i="5" s="1"/>
  <c r="AF4" i="6"/>
  <c r="G4" i="6" s="1"/>
  <c r="X7" i="5" s="1"/>
  <c r="AF5" i="6"/>
  <c r="G5" i="6" s="1"/>
  <c r="X8" i="5" s="1"/>
  <c r="AF6" i="6"/>
  <c r="G6" i="6" s="1"/>
  <c r="X9" i="5" s="1"/>
  <c r="AF7" i="6"/>
  <c r="AF8" i="6"/>
  <c r="AF9" i="6"/>
  <c r="AF10" i="6"/>
  <c r="AF11" i="6"/>
  <c r="AF12" i="6"/>
  <c r="AF13" i="6"/>
  <c r="AF14" i="6"/>
  <c r="AF15" i="6"/>
  <c r="H3" i="6" s="1"/>
  <c r="AF16" i="6"/>
  <c r="H4" i="6" s="1"/>
  <c r="AF17" i="6"/>
  <c r="H5" i="6" s="1"/>
  <c r="AF18" i="6"/>
  <c r="H6" i="6" s="1"/>
  <c r="AF19" i="6"/>
  <c r="H7" i="6" s="1"/>
  <c r="AF20" i="6"/>
  <c r="H8" i="6" s="1"/>
  <c r="AF21" i="6"/>
  <c r="AF22" i="6"/>
  <c r="AF23" i="6"/>
  <c r="AF24" i="6"/>
  <c r="AF25" i="6"/>
  <c r="AF26" i="6"/>
  <c r="AF27" i="6"/>
  <c r="AF28" i="6"/>
  <c r="AF29" i="6"/>
  <c r="AF30" i="6"/>
  <c r="AF31" i="6"/>
  <c r="AF32" i="6"/>
  <c r="AF33" i="6"/>
  <c r="AF34" i="6"/>
  <c r="AF35" i="6"/>
  <c r="AF36" i="6"/>
  <c r="AF37" i="6"/>
  <c r="AF38" i="6"/>
  <c r="AF39" i="6"/>
  <c r="AF40" i="6"/>
  <c r="AF41" i="6"/>
  <c r="AF42" i="6"/>
  <c r="AF43" i="6"/>
  <c r="AF44" i="6"/>
  <c r="AF45" i="6"/>
  <c r="AF46" i="6"/>
  <c r="AF47" i="6"/>
  <c r="AF48" i="6"/>
  <c r="AF49" i="6"/>
  <c r="AF50" i="6"/>
  <c r="AF3" i="6"/>
  <c r="G3" i="6" s="1"/>
  <c r="X6" i="5" s="1"/>
  <c r="E13" i="6"/>
  <c r="E14" i="6"/>
  <c r="E15" i="6"/>
  <c r="E16" i="6"/>
  <c r="E17" i="6"/>
  <c r="E12" i="6"/>
  <c r="E4" i="6"/>
  <c r="E5" i="6"/>
  <c r="E6" i="6"/>
  <c r="E7" i="6"/>
  <c r="E8" i="6"/>
  <c r="E3" i="6"/>
  <c r="F29" i="6"/>
  <c r="F30" i="6"/>
  <c r="F31" i="6"/>
  <c r="F28" i="6"/>
  <c r="AG12" i="5" s="1"/>
  <c r="F22" i="6"/>
  <c r="F23" i="6"/>
  <c r="F24" i="6"/>
  <c r="F21" i="6"/>
  <c r="Y12" i="5" s="1"/>
  <c r="F13" i="6"/>
  <c r="F14" i="6"/>
  <c r="F15" i="6"/>
  <c r="F16" i="6"/>
  <c r="F17" i="6"/>
  <c r="F12" i="6"/>
  <c r="F4" i="6"/>
  <c r="F5" i="6"/>
  <c r="F6" i="6"/>
  <c r="F7" i="6"/>
  <c r="F8" i="6"/>
  <c r="F3" i="6"/>
  <c r="AB43" i="6" l="1"/>
  <c r="AG10" i="5"/>
  <c r="AB48" i="6"/>
  <c r="AG9" i="5"/>
  <c r="AB25" i="6"/>
  <c r="Y10" i="5"/>
  <c r="AB47" i="6"/>
  <c r="AG8" i="5"/>
  <c r="AB84" i="6"/>
  <c r="AG14" i="5"/>
  <c r="AB27" i="6"/>
  <c r="AD6" i="5"/>
  <c r="AB57" i="6"/>
  <c r="V15" i="5"/>
  <c r="AB21" i="6"/>
  <c r="Y6" i="5"/>
  <c r="AB26" i="6"/>
  <c r="Y11" i="5"/>
  <c r="AB24" i="6"/>
  <c r="Y9" i="5"/>
  <c r="AB46" i="6"/>
  <c r="AG7" i="5"/>
  <c r="AB83" i="6"/>
  <c r="AG13" i="5"/>
  <c r="AB38" i="6"/>
  <c r="AD11" i="5"/>
  <c r="AB60" i="6"/>
  <c r="V14" i="5"/>
  <c r="AB82" i="6"/>
  <c r="AB10" i="6"/>
  <c r="V7" i="5"/>
  <c r="AB23" i="6"/>
  <c r="Y8" i="5"/>
  <c r="AB62" i="6"/>
  <c r="AB9" i="6"/>
  <c r="V6" i="5"/>
  <c r="AB31" i="6"/>
  <c r="AD10" i="5"/>
  <c r="AB59" i="6"/>
  <c r="V13" i="5"/>
  <c r="AB22" i="6"/>
  <c r="Y7" i="5"/>
  <c r="AB69" i="6"/>
  <c r="Y15" i="5"/>
  <c r="AB14" i="6"/>
  <c r="V11" i="5"/>
  <c r="AB36" i="6"/>
  <c r="AD9" i="5"/>
  <c r="AB74" i="6"/>
  <c r="AB45" i="6"/>
  <c r="AG6" i="5"/>
  <c r="AB68" i="6"/>
  <c r="Y14" i="5"/>
  <c r="AB7" i="6"/>
  <c r="V10" i="5"/>
  <c r="AB29" i="6"/>
  <c r="AD8" i="5"/>
  <c r="AB77" i="6"/>
  <c r="AD15" i="5"/>
  <c r="AB50" i="6"/>
  <c r="AG11" i="5"/>
  <c r="AB12" i="6"/>
  <c r="V9" i="5"/>
  <c r="AB28" i="6"/>
  <c r="AD7" i="5"/>
  <c r="AB72" i="6"/>
  <c r="AD14" i="5"/>
  <c r="AB75" i="6"/>
  <c r="AD13" i="5"/>
  <c r="AB67" i="6"/>
  <c r="Y13" i="5"/>
  <c r="AB11" i="6"/>
  <c r="V8" i="5"/>
  <c r="AB85" i="6"/>
  <c r="AG15" i="5"/>
  <c r="AB54" i="6"/>
  <c r="AB71" i="6"/>
  <c r="AB78" i="6"/>
  <c r="AB58" i="6"/>
  <c r="AB81" i="6"/>
  <c r="AB61" i="6"/>
  <c r="AB76" i="6"/>
  <c r="AB64" i="6"/>
  <c r="AB63" i="6"/>
  <c r="AB66" i="6"/>
  <c r="AB65" i="6"/>
  <c r="AB73" i="6"/>
  <c r="AB56" i="6"/>
  <c r="AB55" i="6"/>
  <c r="AB80" i="6"/>
  <c r="AB79" i="6"/>
  <c r="AB70" i="6"/>
  <c r="AB13" i="6"/>
  <c r="AB33" i="6"/>
  <c r="AB49" i="6"/>
  <c r="AB37" i="6"/>
  <c r="AB35" i="6"/>
  <c r="AB34" i="6"/>
  <c r="AB3" i="6"/>
  <c r="AB16" i="6"/>
  <c r="AB30" i="6"/>
  <c r="AB8" i="6"/>
  <c r="AB6" i="6"/>
  <c r="AB41" i="6"/>
  <c r="AB17" i="6"/>
  <c r="AB40" i="6"/>
  <c r="AB32" i="6"/>
  <c r="AB5" i="6"/>
  <c r="AB15" i="6"/>
  <c r="AB39" i="6"/>
  <c r="AB4" i="6"/>
  <c r="AB20" i="6"/>
  <c r="AB44" i="6"/>
  <c r="AB19" i="6"/>
  <c r="AB18" i="6"/>
  <c r="AB4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<sst xmlns="http://schemas.openxmlformats.org/spreadsheetml/2006/main" count="4404" uniqueCount="544">
  <si>
    <t>4"</t>
  </si>
  <si>
    <t>6"</t>
  </si>
  <si>
    <t>8"</t>
  </si>
  <si>
    <t>10"</t>
  </si>
  <si>
    <t>12"</t>
  </si>
  <si>
    <t>14"</t>
  </si>
  <si>
    <t>16"</t>
  </si>
  <si>
    <t>16"x24"</t>
  </si>
  <si>
    <t>5"</t>
  </si>
  <si>
    <t>Inlet Size</t>
  </si>
  <si>
    <t>Max</t>
  </si>
  <si>
    <t>Airflow</t>
  </si>
  <si>
    <t>VCCF</t>
  </si>
  <si>
    <t>VCEF</t>
  </si>
  <si>
    <t>VCWF</t>
  </si>
  <si>
    <t xml:space="preserve">max </t>
  </si>
  <si>
    <t>ddc min</t>
  </si>
  <si>
    <t xml:space="preserve">pneumatic </t>
  </si>
  <si>
    <t>CFM</t>
  </si>
  <si>
    <t>Unit Pressure Drop</t>
  </si>
  <si>
    <t>APD</t>
  </si>
  <si>
    <t>MBH</t>
  </si>
  <si>
    <t>GPM</t>
  </si>
  <si>
    <t>Definitions and Units</t>
  </si>
  <si>
    <t>Hot Water Reheat (VCWF)</t>
  </si>
  <si>
    <t>MBH = 500*(H2O ΔT)*GPM = 1.085*(Air ΔT)*CFM</t>
  </si>
  <si>
    <t>47.5x18.5x11.5</t>
  </si>
  <si>
    <t>47.5x21.5x13.5</t>
  </si>
  <si>
    <t>47.5x24.5x15.5</t>
  </si>
  <si>
    <t>47.5x26.5x19.5</t>
  </si>
  <si>
    <t>47.5x30.5x19.5</t>
  </si>
  <si>
    <t>47.5x34.5x19.5</t>
  </si>
  <si>
    <t>Dimensions (L x W x H)</t>
  </si>
  <si>
    <t>49.25x18.5x11.5</t>
  </si>
  <si>
    <t>18.25x17x9.5</t>
  </si>
  <si>
    <t>16.5x17x9.5</t>
  </si>
  <si>
    <t>16x18x11.5</t>
  </si>
  <si>
    <t>17x21x13.5</t>
  </si>
  <si>
    <t>18x24x15.5</t>
  </si>
  <si>
    <t>19x26x19.5</t>
  </si>
  <si>
    <t>20x30x19.5</t>
  </si>
  <si>
    <t>23x34x19.5</t>
  </si>
  <si>
    <t>Delta P</t>
  </si>
  <si>
    <t>1-Row</t>
  </si>
  <si>
    <t>2-Row</t>
  </si>
  <si>
    <t>3-Row</t>
  </si>
  <si>
    <t>Min</t>
  </si>
  <si>
    <t>4-Row</t>
  </si>
  <si>
    <t>3R</t>
  </si>
  <si>
    <t>-</t>
  </si>
  <si>
    <t>50L</t>
  </si>
  <si>
    <t>4R</t>
  </si>
  <si>
    <t>80L</t>
  </si>
  <si>
    <t>Tag</t>
  </si>
  <si>
    <t>Inlet size</t>
  </si>
  <si>
    <t xml:space="preserve">1. Minimum airflows shown are to maintain pressure independence. Absolute minimums are 0 cfm. </t>
  </si>
  <si>
    <t>Instructions:</t>
  </si>
  <si>
    <t>1. Select Inlet Size</t>
  </si>
  <si>
    <t>Unit Air Pressure Drop</t>
  </si>
  <si>
    <t>Airflow and Acoustics</t>
  </si>
  <si>
    <t>Unit Dimensions</t>
  </si>
  <si>
    <t>APD (in. w.g)</t>
  </si>
  <si>
    <t>Airflow (CFM)</t>
  </si>
  <si>
    <t>Electric Reheat (VCEF)</t>
  </si>
  <si>
    <r>
      <t>Unit LAT reccommended to be 20</t>
    </r>
    <r>
      <rPr>
        <i/>
        <sz val="10"/>
        <color theme="1"/>
        <rFont val="Calibri"/>
        <family val="2"/>
      </rPr>
      <t>°</t>
    </r>
    <r>
      <rPr>
        <i/>
        <sz val="10"/>
        <color theme="1"/>
        <rFont val="Calibri"/>
        <family val="2"/>
        <scheme val="minor"/>
      </rPr>
      <t>F higher than space setpoint to ensure  proper mixing</t>
    </r>
  </si>
  <si>
    <t>1-Row Coil</t>
  </si>
  <si>
    <t>2-Row Coil</t>
  </si>
  <si>
    <t>Calculations</t>
  </si>
  <si>
    <t>MBH =  1.085*(Air ΔT)*CFM</t>
  </si>
  <si>
    <t>Air ΔT = (kW * 3145)/Airflow</t>
  </si>
  <si>
    <t>80% Max Flow</t>
  </si>
  <si>
    <t>50% Max Flow</t>
  </si>
  <si>
    <t>APD (in. w.g.)</t>
  </si>
  <si>
    <t>Fluid Flow (GPM)</t>
  </si>
  <si>
    <t>3-Row Coil</t>
  </si>
  <si>
    <t>4-Row Coil</t>
  </si>
  <si>
    <t>Notes</t>
  </si>
  <si>
    <t>4 in. round</t>
  </si>
  <si>
    <t>5 in. round</t>
  </si>
  <si>
    <t>6 in. round</t>
  </si>
  <si>
    <t>8 in. round</t>
  </si>
  <si>
    <t>10 in. round</t>
  </si>
  <si>
    <t>12 in. round</t>
  </si>
  <si>
    <t>14 in. round</t>
  </si>
  <si>
    <t>16 in. round</t>
  </si>
  <si>
    <t>VCCF = Single duct VAV unit without reheat</t>
  </si>
  <si>
    <t>VCEF = Single duct VAV unit with electric reheat</t>
  </si>
  <si>
    <t>VCWF = Single duct VAV unit with hot water reheat</t>
  </si>
  <si>
    <t>5. Capacity based on 55°F entering air temperature and 180°F entering water temperature</t>
  </si>
  <si>
    <t>4. Max kW available depends on voltage and stages required</t>
  </si>
  <si>
    <t>NC = Noise Criteria</t>
  </si>
  <si>
    <r>
      <rPr>
        <sz val="11"/>
        <color theme="1"/>
        <rFont val="Calibri"/>
        <family val="2"/>
        <scheme val="minor"/>
      </rPr>
      <t>APD</t>
    </r>
    <r>
      <rPr>
        <b/>
        <sz val="11"/>
        <color theme="1"/>
        <rFont val="Calibri"/>
        <family val="2"/>
        <scheme val="minor"/>
      </rPr>
      <t xml:space="preserve"> = </t>
    </r>
    <r>
      <rPr>
        <sz val="11"/>
        <color theme="1"/>
        <rFont val="Calibri"/>
        <family val="2"/>
        <scheme val="minor"/>
      </rPr>
      <t>Air pressure drop [in. w.g]</t>
    </r>
  </si>
  <si>
    <t>50H</t>
  </si>
  <si>
    <t>Radiated NC</t>
  </si>
  <si>
    <t>Discharge NC</t>
  </si>
  <si>
    <t>3R = 3-Row HW Coil</t>
  </si>
  <si>
    <t>4R = 4-Row HW Coil</t>
  </si>
  <si>
    <t>50 = 50% max aiflow</t>
  </si>
  <si>
    <t>80 = 80% max airflow</t>
  </si>
  <si>
    <t>L = Low GPM</t>
  </si>
  <si>
    <t>H = High GPM</t>
  </si>
  <si>
    <t xml:space="preserve">Variable Air Volume Single Duct Terminal Units </t>
  </si>
  <si>
    <t>Schedule</t>
  </si>
  <si>
    <t>Unit Tags</t>
  </si>
  <si>
    <t>Quantity</t>
  </si>
  <si>
    <t>Unit model</t>
  </si>
  <si>
    <t>Primary inlet</t>
  </si>
  <si>
    <t>Design cooling airflow</t>
  </si>
  <si>
    <t>Min cooling airflow</t>
  </si>
  <si>
    <t>APD @ cooling airflow</t>
  </si>
  <si>
    <t>Valve heating airflow</t>
  </si>
  <si>
    <t>Unit Insulation</t>
  </si>
  <si>
    <t>Operating weight</t>
  </si>
  <si>
    <t>Primary EDB</t>
  </si>
  <si>
    <t>Fluid type</t>
  </si>
  <si>
    <t>Heating ent fluid temp</t>
  </si>
  <si>
    <t>Heating flow rate</t>
  </si>
  <si>
    <t>Heating delta T</t>
  </si>
  <si>
    <t>Coil fluid PD</t>
  </si>
  <si>
    <t>Coil heating capacity</t>
  </si>
  <si>
    <t>Hot water coil</t>
  </si>
  <si>
    <t xml:space="preserve">Discharge valve - 125 Hz </t>
  </si>
  <si>
    <t xml:space="preserve">Discharge valve - 250 Hz </t>
  </si>
  <si>
    <t xml:space="preserve">Discharge valve - 500 Hz </t>
  </si>
  <si>
    <t xml:space="preserve">Discharge valve - 1 kHz </t>
  </si>
  <si>
    <t xml:space="preserve">Discharge valve - 2 kHz </t>
  </si>
  <si>
    <t xml:space="preserve">Discharge valve - 4 kHz </t>
  </si>
  <si>
    <t>Discharge valve - NC</t>
  </si>
  <si>
    <t xml:space="preserve">Radiated valve - 125 Hz </t>
  </si>
  <si>
    <t xml:space="preserve">Radiated valve - 250 Hz </t>
  </si>
  <si>
    <t xml:space="preserve">Radiated valve - 500 Hz </t>
  </si>
  <si>
    <t xml:space="preserve">Radiated valve - 1 kHz </t>
  </si>
  <si>
    <t xml:space="preserve">Radiated valve - 2 kHz </t>
  </si>
  <si>
    <t xml:space="preserve">Radiated valve - 4 kHz </t>
  </si>
  <si>
    <t>Radiated valve - NC</t>
  </si>
  <si>
    <t>Max inlet SP</t>
  </si>
  <si>
    <t>Discharge transfer function</t>
  </si>
  <si>
    <t>Radiated transfer function</t>
  </si>
  <si>
    <t/>
  </si>
  <si>
    <t>cfm</t>
  </si>
  <si>
    <t>in H2O</t>
  </si>
  <si>
    <t>lb</t>
  </si>
  <si>
    <t>F</t>
  </si>
  <si>
    <t>gpm</t>
  </si>
  <si>
    <t>ft H2O</t>
  </si>
  <si>
    <t>MBh</t>
  </si>
  <si>
    <t>dB</t>
  </si>
  <si>
    <t xml:space="preserve"> </t>
  </si>
  <si>
    <t>4-3R-50L</t>
  </si>
  <si>
    <t>VCWF (Hot Water Heating)</t>
  </si>
  <si>
    <t>4" (102mm)</t>
  </si>
  <si>
    <t>1/2" matte</t>
  </si>
  <si>
    <t>Water</t>
  </si>
  <si>
    <t>3 Row hot water coil</t>
  </si>
  <si>
    <t>5-3R-50L</t>
  </si>
  <si>
    <t>5" (127mm)</t>
  </si>
  <si>
    <t>6-3R-50L</t>
  </si>
  <si>
    <t>6" (152mm)</t>
  </si>
  <si>
    <t>8-3R-50L</t>
  </si>
  <si>
    <t>8" (203mm)</t>
  </si>
  <si>
    <t>10-3R-50L</t>
  </si>
  <si>
    <t>10" (254mm)</t>
  </si>
  <si>
    <t>12-3R-50L</t>
  </si>
  <si>
    <t>12" (305mm)</t>
  </si>
  <si>
    <t>14-3R-50L</t>
  </si>
  <si>
    <t>14" (356mm)</t>
  </si>
  <si>
    <t>16-3R-50L</t>
  </si>
  <si>
    <t>16" (406mm)</t>
  </si>
  <si>
    <t>24-3R-50L</t>
  </si>
  <si>
    <t>24" x 16" (610x406mm)</t>
  </si>
  <si>
    <t>4-3R-50R</t>
  </si>
  <si>
    <t>5-3R-50R</t>
  </si>
  <si>
    <t>6-3R-50R</t>
  </si>
  <si>
    <t>8-3R-50R</t>
  </si>
  <si>
    <t>10-3R-50R</t>
  </si>
  <si>
    <t>12-3R-50R</t>
  </si>
  <si>
    <t>14-3R-50R</t>
  </si>
  <si>
    <t>16-3R-50R</t>
  </si>
  <si>
    <t>24-3R-50R</t>
  </si>
  <si>
    <t>4-4R-50L</t>
  </si>
  <si>
    <t>4 Row hot water coil</t>
  </si>
  <si>
    <t>5-4R-50L</t>
  </si>
  <si>
    <t>6-4R-50L</t>
  </si>
  <si>
    <t>8-4R-50L</t>
  </si>
  <si>
    <t>10-4R-50L</t>
  </si>
  <si>
    <t>12-4R-50L</t>
  </si>
  <si>
    <t>14-4R-50L</t>
  </si>
  <si>
    <t>16-4R-50L</t>
  </si>
  <si>
    <t>24-4R-50L</t>
  </si>
  <si>
    <t>4-4R-50R</t>
  </si>
  <si>
    <t>5-4R-50R</t>
  </si>
  <si>
    <t>6-4R-50R</t>
  </si>
  <si>
    <t>8-4R-50R</t>
  </si>
  <si>
    <t>10-4R-50R</t>
  </si>
  <si>
    <t>12-4R-50R</t>
  </si>
  <si>
    <t>14-4R-50R</t>
  </si>
  <si>
    <t>16-4R-50R</t>
  </si>
  <si>
    <t>24-4R-50R</t>
  </si>
  <si>
    <t>4-3R-80L</t>
  </si>
  <si>
    <t>5-3R-80L</t>
  </si>
  <si>
    <t>6-3R-80L</t>
  </si>
  <si>
    <t>8-3R-80L</t>
  </si>
  <si>
    <t>10-3R-80L</t>
  </si>
  <si>
    <t>12-3R-80L</t>
  </si>
  <si>
    <t>14-3R-80L</t>
  </si>
  <si>
    <t>16-3R-80L</t>
  </si>
  <si>
    <t>24-3R-80L</t>
  </si>
  <si>
    <t>4-3R-80R</t>
  </si>
  <si>
    <t>5-3R-80R</t>
  </si>
  <si>
    <t>6-3R-80R</t>
  </si>
  <si>
    <t>8-3R-80R</t>
  </si>
  <si>
    <t>10-3R-80R</t>
  </si>
  <si>
    <t>12-3R-80R</t>
  </si>
  <si>
    <t>14-3R-80R</t>
  </si>
  <si>
    <t>16-3R-80R</t>
  </si>
  <si>
    <t>24-3R-80R</t>
  </si>
  <si>
    <t>4-4R-80L</t>
  </si>
  <si>
    <t>5-4R-80L</t>
  </si>
  <si>
    <t>6-4R-80L</t>
  </si>
  <si>
    <t>8-4R-80L</t>
  </si>
  <si>
    <t>10-4R-80L</t>
  </si>
  <si>
    <t>12-4R-80L</t>
  </si>
  <si>
    <t>14-4R-80L</t>
  </si>
  <si>
    <t>16-4R-80L</t>
  </si>
  <si>
    <t>24-4R-80L</t>
  </si>
  <si>
    <t>4-4R-80R</t>
  </si>
  <si>
    <t>5-4R-80R</t>
  </si>
  <si>
    <t>6-4R-80R</t>
  </si>
  <si>
    <t>8-4R-80R</t>
  </si>
  <si>
    <t>10-4R-80R</t>
  </si>
  <si>
    <t>12-4R-80R</t>
  </si>
  <si>
    <t>14-4R-80R</t>
  </si>
  <si>
    <t>16-4R-80R</t>
  </si>
  <si>
    <t>24-4R-80R</t>
  </si>
  <si>
    <t>4-VCCF-L</t>
  </si>
  <si>
    <t>VCCF (Cooling Only)</t>
  </si>
  <si>
    <t>1" matte</t>
  </si>
  <si>
    <t>AHRI 885-98/08</t>
  </si>
  <si>
    <t>AHRI 885-98/08 Mineral Fiber</t>
  </si>
  <si>
    <t>5-VCCF-L</t>
  </si>
  <si>
    <t>6-VCCF-L</t>
  </si>
  <si>
    <t>8-VCCF-L</t>
  </si>
  <si>
    <t>10-VCCF-L</t>
  </si>
  <si>
    <t>12-VCCF-L</t>
  </si>
  <si>
    <t>14-VCCF-L</t>
  </si>
  <si>
    <t>16-VCCF-L</t>
  </si>
  <si>
    <t>24-VCCF-L</t>
  </si>
  <si>
    <t>4-VCCF-H</t>
  </si>
  <si>
    <t>5-VCCF-H</t>
  </si>
  <si>
    <t>6-VCCF-H</t>
  </si>
  <si>
    <t>8-VCCF-H</t>
  </si>
  <si>
    <t>10-VCCF-H</t>
  </si>
  <si>
    <t>12-VCCF-H</t>
  </si>
  <si>
    <t>14-VCCF-H</t>
  </si>
  <si>
    <t>16-VCCF-H</t>
  </si>
  <si>
    <t>24-VCCF-H</t>
  </si>
  <si>
    <t>Rev 2</t>
  </si>
  <si>
    <t>Hot Water Reheat</t>
  </si>
  <si>
    <t>Parallel</t>
  </si>
  <si>
    <t>Series</t>
  </si>
  <si>
    <t>Electric Reheat</t>
  </si>
  <si>
    <t>kW Available</t>
  </si>
  <si>
    <t>1 Row Coil</t>
  </si>
  <si>
    <t>2 Row Coil</t>
  </si>
  <si>
    <t xml:space="preserve">Fan Size </t>
  </si>
  <si>
    <t>VPCF</t>
  </si>
  <si>
    <t>VPWF</t>
  </si>
  <si>
    <t>VPEF</t>
  </si>
  <si>
    <t xml:space="preserve">1 row </t>
  </si>
  <si>
    <t xml:space="preserve">2 row </t>
  </si>
  <si>
    <t xml:space="preserve"> ΔP</t>
  </si>
  <si>
    <t xml:space="preserve">CFM </t>
  </si>
  <si>
    <t>0.5-20.0</t>
  </si>
  <si>
    <t>0.5-24.0</t>
  </si>
  <si>
    <t>0.5-16.0</t>
  </si>
  <si>
    <t>0.5-22.0</t>
  </si>
  <si>
    <t>0.5-18.0</t>
  </si>
  <si>
    <t>0.5-14.0</t>
  </si>
  <si>
    <t>0.5-11.0</t>
  </si>
  <si>
    <t>0.5-6.0</t>
  </si>
  <si>
    <t>0.5-7.0</t>
  </si>
  <si>
    <t>02SQ</t>
  </si>
  <si>
    <t>03SQ</t>
  </si>
  <si>
    <t>04SQ</t>
  </si>
  <si>
    <t>05SQ</t>
  </si>
  <si>
    <t>06SQ</t>
  </si>
  <si>
    <t>07SQ</t>
  </si>
  <si>
    <t>350-2050</t>
  </si>
  <si>
    <t>Dimensions (L x W x H inches)</t>
  </si>
  <si>
    <t>30x45.5x15.5</t>
  </si>
  <si>
    <t>32.5x45.5x17.5</t>
  </si>
  <si>
    <t>40x45.5x21.5</t>
  </si>
  <si>
    <t>Length does NOT include inlet cylinder (4 in. for inlet sizes 6-16 in. and 6.5 in. for inlet size 5 in.)</t>
  </si>
  <si>
    <t>36.3x45.5x15.5</t>
  </si>
  <si>
    <t>38.8x45.5x17.5</t>
  </si>
  <si>
    <t>46.3x45.5x21.5</t>
  </si>
  <si>
    <t>Width includes 5.5 in. for control enclosure</t>
  </si>
  <si>
    <t>Suppressor sound attenuator adds 16 in. to length for parallel</t>
  </si>
  <si>
    <t>36x45.5x15.5</t>
  </si>
  <si>
    <t>38.5x45.5x17.5</t>
  </si>
  <si>
    <t>46x45.5x21.5</t>
  </si>
  <si>
    <t>VSCF</t>
  </si>
  <si>
    <t>VSWF</t>
  </si>
  <si>
    <t>VSEF</t>
  </si>
  <si>
    <t>Should I add FLA?</t>
  </si>
  <si>
    <t>34x27.5x15.5</t>
  </si>
  <si>
    <t>40x29.5x17.5</t>
  </si>
  <si>
    <t>40x35.5x17.5</t>
  </si>
  <si>
    <t>40x35.5x21.5</t>
  </si>
  <si>
    <t>Series configuration narrow corridor option adds 6.4 in. to width</t>
  </si>
  <si>
    <t>40.75x27.5x15.5</t>
  </si>
  <si>
    <t>50.75x29.5x17.5</t>
  </si>
  <si>
    <t>5075x29.5x17.5</t>
  </si>
  <si>
    <t>50.75x35.5x17.5</t>
  </si>
  <si>
    <t>46.75x35.5x21.5</t>
  </si>
  <si>
    <t>Suppressor sound attenuator adds (02SQ 14 in., 03SQ-05SQ 16 in., 06SQ-07SQ 20 in.) to width for series</t>
  </si>
  <si>
    <t>52.5x27.5x15.5</t>
  </si>
  <si>
    <t>58.5x29.5x17.5</t>
  </si>
  <si>
    <t>58.5x35.5x17.5</t>
  </si>
  <si>
    <t>57x35.5x21.5</t>
  </si>
  <si>
    <t>Assuming 0.25 in. wg. downstream static pressure</t>
  </si>
  <si>
    <t>Hot water coil on inlet for parallel configuration</t>
  </si>
  <si>
    <t>Assuming 1 in. Throwaway return air filter</t>
  </si>
  <si>
    <t>Hot Water Reheat Max Airflow (cfm)</t>
  </si>
  <si>
    <t>70F EAT</t>
  </si>
  <si>
    <t>180F EWT</t>
  </si>
  <si>
    <t>Unit Tag</t>
  </si>
  <si>
    <t>VPWF 02 1R PSC</t>
  </si>
  <si>
    <t>Fluid Flow</t>
  </si>
  <si>
    <t>WPD</t>
  </si>
  <si>
    <t>Capacity</t>
  </si>
  <si>
    <t>VPWF 03 1R PSC</t>
  </si>
  <si>
    <t>VPWF 04 1R PSC</t>
  </si>
  <si>
    <t>VPWF 05 1R PSC</t>
  </si>
  <si>
    <t>Fan size</t>
  </si>
  <si>
    <t>Coil Rows</t>
  </si>
  <si>
    <t>Motor Type</t>
  </si>
  <si>
    <t>PSC</t>
  </si>
  <si>
    <t>ECM</t>
  </si>
  <si>
    <t>VPWF 03 1R ECM</t>
  </si>
  <si>
    <t>VPWF 04 1R ECM</t>
  </si>
  <si>
    <t>VPWF 05 1R ECM</t>
  </si>
  <si>
    <t>VPWF 02 2R PSC</t>
  </si>
  <si>
    <t>VPWF 03 2R PSC</t>
  </si>
  <si>
    <t>VPWF 04 2R PSC</t>
  </si>
  <si>
    <t>VPWF 05 2R PSC</t>
  </si>
  <si>
    <t>VPWF 06 1R PSC</t>
  </si>
  <si>
    <t>VPWF 07 1R PSC</t>
  </si>
  <si>
    <t>VPWF 06 2R PSC</t>
  </si>
  <si>
    <t>VPWF 07 2R PSC</t>
  </si>
  <si>
    <t>Use 100% maximum airflow</t>
  </si>
  <si>
    <t>Use 75% maximum airflow</t>
  </si>
  <si>
    <t>Fan TSP</t>
  </si>
  <si>
    <t>Downstream SP</t>
  </si>
  <si>
    <t>Fan Size</t>
  </si>
  <si>
    <t>WPD 1</t>
  </si>
  <si>
    <t>Fluid Flow 1</t>
  </si>
  <si>
    <t>Fluid Flow 2</t>
  </si>
  <si>
    <t>WPD 2</t>
  </si>
  <si>
    <t>Capacity 1</t>
  </si>
  <si>
    <t>Capacity 2</t>
  </si>
  <si>
    <t>Airflow 1</t>
  </si>
  <si>
    <t>APD 1</t>
  </si>
  <si>
    <t>Airflow 2</t>
  </si>
  <si>
    <t>APD 2</t>
  </si>
  <si>
    <t>Capacity 3</t>
  </si>
  <si>
    <t>Capacity 4</t>
  </si>
  <si>
    <t>1+1</t>
  </si>
  <si>
    <t>1+2</t>
  </si>
  <si>
    <t>2+1</t>
  </si>
  <si>
    <t>2+2</t>
  </si>
  <si>
    <t>VPWF - PSC Motor - 2R Coil</t>
  </si>
  <si>
    <t>VPWF - PSC Motor - 1R Coil</t>
  </si>
  <si>
    <t>VPWF - EC Motor - 2R Coil</t>
  </si>
  <si>
    <t>VPWF - EC Motor - 1R Coil</t>
  </si>
  <si>
    <t>VPWF 06 1R ECM</t>
  </si>
  <si>
    <t>VPWF - PSC Motor</t>
  </si>
  <si>
    <t>VPWF - EC Motor</t>
  </si>
  <si>
    <t>VSWF - PSC Motor - 1R Coil</t>
  </si>
  <si>
    <t>VSWF - PSC Motor - 2R Coil</t>
  </si>
  <si>
    <t>VSWF - EC Motor - 1R Coil</t>
  </si>
  <si>
    <t>VSWF - EC Motor - 2R Coil</t>
  </si>
  <si>
    <t>VSWF 02 1R PSC</t>
  </si>
  <si>
    <t>VSWF 03 1R PSC</t>
  </si>
  <si>
    <t>VSWF 04 1R PSC</t>
  </si>
  <si>
    <t>VSWF 05 1R PSC</t>
  </si>
  <si>
    <t>VSWF 06 1R PSC</t>
  </si>
  <si>
    <t>VSWF 07 1R PSC</t>
  </si>
  <si>
    <t>VSWF 03 1R ECM</t>
  </si>
  <si>
    <t>VSWF 04 1R ECM</t>
  </si>
  <si>
    <t>VSWF 05 1R ECM</t>
  </si>
  <si>
    <t>VSWF 06 1R ECM</t>
  </si>
  <si>
    <t>VSWF 03 2R ECM</t>
  </si>
  <si>
    <t>VSWF 04 2R ECM</t>
  </si>
  <si>
    <t>VSWF 05 2R ECM</t>
  </si>
  <si>
    <t>VSWF 06 2R ECM</t>
  </si>
  <si>
    <t>VSWF 02 2R PSC</t>
  </si>
  <si>
    <t>VSWF 03 2R PSC</t>
  </si>
  <si>
    <t>VSWF 04 2R PSC</t>
  </si>
  <si>
    <t>VSWF 05 2R PSC</t>
  </si>
  <si>
    <t>VSWF 06 2R PSC</t>
  </si>
  <si>
    <t>VSWF 07 2R PSC</t>
  </si>
  <si>
    <t>Fan Airflow</t>
  </si>
  <si>
    <t>Valve Airflow</t>
  </si>
  <si>
    <t>of fan airflow</t>
  </si>
  <si>
    <t>Airflow Point</t>
  </si>
  <si>
    <t>Valve Size</t>
  </si>
  <si>
    <t>Min Valve Airflow</t>
  </si>
  <si>
    <t>Design Valve Airflow</t>
  </si>
  <si>
    <t>Inlet SP = 0.75" wg.</t>
  </si>
  <si>
    <t>Downstream SP = 0.25" wg.</t>
  </si>
  <si>
    <t>1" Throwaway Filter</t>
  </si>
  <si>
    <t>VPCF w/ 1/2" matte insulation</t>
  </si>
  <si>
    <t>Min air valve flow = 30% or minimum valve measurable airflow, whichever is greater</t>
  </si>
  <si>
    <t>Design cooling valve flow = heating airflow (fan airflow + min valve airflow)</t>
  </si>
  <si>
    <t>NC calculated using AHRI Standard 885 Appendix E</t>
  </si>
  <si>
    <t xml:space="preserve">5" (127mm) </t>
  </si>
  <si>
    <t xml:space="preserve">6" (152mm) </t>
  </si>
  <si>
    <t xml:space="preserve">8" (203mm) </t>
  </si>
  <si>
    <t xml:space="preserve">10" (254mm) </t>
  </si>
  <si>
    <t xml:space="preserve">12" (305mm) </t>
  </si>
  <si>
    <t xml:space="preserve">14" (356mm) </t>
  </si>
  <si>
    <t>Maximum airflow not absolute maximum, but maximum with given configuration and static pressure</t>
  </si>
  <si>
    <t xml:space="preserve">4" (102 mm) </t>
  </si>
  <si>
    <t xml:space="preserve">16" (406mm) </t>
  </si>
  <si>
    <t>Fan Airflow Range (cfm) @ 0.25" wg. Downstream SP</t>
  </si>
  <si>
    <t>User Input</t>
  </si>
  <si>
    <t>Unit Configuration</t>
  </si>
  <si>
    <t>122-455</t>
  </si>
  <si>
    <t>252-1095</t>
  </si>
  <si>
    <t>300-1325</t>
  </si>
  <si>
    <t>350-1540</t>
  </si>
  <si>
    <t>880-1875</t>
  </si>
  <si>
    <t>1000-2020</t>
  </si>
  <si>
    <t>168-1075</t>
  </si>
  <si>
    <t>222-1500</t>
  </si>
  <si>
    <t>281-1835</t>
  </si>
  <si>
    <t>895-2075</t>
  </si>
  <si>
    <t>190-695</t>
  </si>
  <si>
    <t>254-1185</t>
  </si>
  <si>
    <t>330-1555</t>
  </si>
  <si>
    <t>405-1900</t>
  </si>
  <si>
    <t>700-2625</t>
  </si>
  <si>
    <t>850-3015</t>
  </si>
  <si>
    <t>201-1095</t>
  </si>
  <si>
    <t>263-1495</t>
  </si>
  <si>
    <t>700-2495</t>
  </si>
  <si>
    <t>50% Airflow</t>
  </si>
  <si>
    <t>Minimum Airflow</t>
  </si>
  <si>
    <t>Configuration Type</t>
  </si>
  <si>
    <t>NC (No Suppressor)</t>
  </si>
  <si>
    <t>NC (Suppressor)</t>
  </si>
  <si>
    <t>Radiated Valve</t>
  </si>
  <si>
    <t>Discharge Valve</t>
  </si>
  <si>
    <t>Radiated Fan</t>
  </si>
  <si>
    <t>Discharge Fan</t>
  </si>
  <si>
    <t>Radiated Valve&amp;Fan</t>
  </si>
  <si>
    <t>Maximum Airflow</t>
  </si>
  <si>
    <r>
      <t>Inlet Size Availability (</t>
    </r>
    <r>
      <rPr>
        <sz val="11"/>
        <color theme="1"/>
        <rFont val="Calibri"/>
        <family val="2"/>
      </rPr>
      <t>Ø in.)</t>
    </r>
  </si>
  <si>
    <t>5, 6, 8, 10</t>
  </si>
  <si>
    <t>6, 8, 10, 12</t>
  </si>
  <si>
    <t>8, 10, 12, 14</t>
  </si>
  <si>
    <t>10, 12, 14</t>
  </si>
  <si>
    <t>10, 12, 14, 16</t>
  </si>
  <si>
    <t>4, 5, 6, 8, 10</t>
  </si>
  <si>
    <t>6, 8, 10, 12, 14</t>
  </si>
  <si>
    <t>02/07 ECM Check</t>
  </si>
  <si>
    <t>With Suppressor Attenuator</t>
  </si>
  <si>
    <t>Sound Path</t>
  </si>
  <si>
    <t>Dimensions</t>
  </si>
  <si>
    <t>Unit Model</t>
  </si>
  <si>
    <t>Hot Water Heat</t>
  </si>
  <si>
    <t>Fluid Pressure Drop (ft. H2O)</t>
  </si>
  <si>
    <t>Capacity (MBH)</t>
  </si>
  <si>
    <t>1-Row Coil Performance</t>
  </si>
  <si>
    <t>2-Row Coil Performance</t>
  </si>
  <si>
    <t>VariTrane™ Fan Powered VAV Quick Select</t>
  </si>
  <si>
    <t>1. Select Configuration Type, Fan Size and Motor Type</t>
  </si>
  <si>
    <t>2. Check appropriate factors. Re-select Configuration Type, Fan Size and Motor Type as needed.</t>
  </si>
  <si>
    <t>2. Check appropriate factors. Re-select inlet size as needed.</t>
  </si>
  <si>
    <t>No Attenuator</t>
  </si>
  <si>
    <t>Inlet Size Availability 
(Ø inches)</t>
  </si>
  <si>
    <r>
      <t>Fluid Pressure Drop (ft. H</t>
    </r>
    <r>
      <rPr>
        <b/>
        <u/>
        <vertAlign val="subscript"/>
        <sz val="11"/>
        <color theme="1"/>
        <rFont val="Calibri"/>
        <family val="2"/>
        <scheme val="minor"/>
      </rPr>
      <t>2</t>
    </r>
    <r>
      <rPr>
        <b/>
        <u/>
        <sz val="11"/>
        <color theme="1"/>
        <rFont val="Calibri"/>
        <family val="2"/>
        <scheme val="minor"/>
      </rPr>
      <t>O)</t>
    </r>
  </si>
  <si>
    <r>
      <t>Capacity (MBH)</t>
    </r>
    <r>
      <rPr>
        <b/>
        <u/>
        <vertAlign val="subscript"/>
        <sz val="11"/>
        <color theme="1"/>
        <rFont val="Calibri"/>
        <family val="2"/>
        <scheme val="minor"/>
      </rPr>
      <t>5</t>
    </r>
    <r>
      <rPr>
        <b/>
        <u/>
        <sz val="11"/>
        <color theme="1"/>
        <rFont val="Calibri"/>
        <family val="2"/>
        <scheme val="minor"/>
      </rPr>
      <t xml:space="preserve"> </t>
    </r>
  </si>
  <si>
    <t>APD 
(in. wg.)</t>
  </si>
  <si>
    <t>APD
(in. wg.)</t>
  </si>
  <si>
    <t>Fan Airflow (CFM) Range @ 0.25 in. wg. Downstream SP</t>
  </si>
  <si>
    <r>
      <t>Max Capacity (kW)</t>
    </r>
    <r>
      <rPr>
        <b/>
        <u/>
        <vertAlign val="subscript"/>
        <sz val="11"/>
        <color theme="1"/>
        <rFont val="Calibri"/>
        <family val="2"/>
        <scheme val="minor"/>
      </rPr>
      <t>4</t>
    </r>
  </si>
  <si>
    <r>
      <t>Air Temp Rise (</t>
    </r>
    <r>
      <rPr>
        <b/>
        <u/>
        <sz val="11"/>
        <color theme="1"/>
        <rFont val="Calibri"/>
        <family val="2"/>
      </rPr>
      <t>°F)</t>
    </r>
  </si>
  <si>
    <r>
      <t>(Length x Width x Height, Inches)</t>
    </r>
    <r>
      <rPr>
        <b/>
        <u/>
        <vertAlign val="subscript"/>
        <sz val="11"/>
        <color theme="1"/>
        <rFont val="Calibri"/>
        <family val="2"/>
        <scheme val="minor"/>
      </rPr>
      <t>3</t>
    </r>
  </si>
  <si>
    <r>
      <t>Airflow (CFM)</t>
    </r>
    <r>
      <rPr>
        <b/>
        <u/>
        <vertAlign val="subscript"/>
        <sz val="11"/>
        <color theme="1"/>
        <rFont val="Calibri"/>
        <family val="2"/>
        <scheme val="minor"/>
      </rPr>
      <t>1</t>
    </r>
  </si>
  <si>
    <r>
      <t>Unit Radiated NC</t>
    </r>
    <r>
      <rPr>
        <b/>
        <u/>
        <vertAlign val="subscript"/>
        <sz val="11"/>
        <color theme="1"/>
        <rFont val="Calibri"/>
        <family val="2"/>
        <scheme val="minor"/>
      </rPr>
      <t>2</t>
    </r>
  </si>
  <si>
    <r>
      <t>Unit Discharge NC</t>
    </r>
    <r>
      <rPr>
        <b/>
        <u/>
        <vertAlign val="subscript"/>
        <sz val="11"/>
        <color theme="1"/>
        <rFont val="Calibri"/>
        <family val="2"/>
        <scheme val="minor"/>
      </rPr>
      <t>2</t>
    </r>
  </si>
  <si>
    <t>70F Plenum EAT</t>
  </si>
  <si>
    <t>55F Primary EAT</t>
  </si>
  <si>
    <t>62.5F coil EAT</t>
  </si>
  <si>
    <r>
      <rPr>
        <b/>
        <sz val="11"/>
        <color theme="1"/>
        <rFont val="Calibri"/>
        <family val="2"/>
        <scheme val="minor"/>
      </rPr>
      <t>VCWF Example:</t>
    </r>
    <r>
      <rPr>
        <sz val="11"/>
        <color theme="1"/>
        <rFont val="Calibri"/>
        <family val="2"/>
        <scheme val="minor"/>
      </rPr>
      <t xml:space="preserve"> 8 in. Inlet Size, 1-Row Coil, has a fluid flow rate range of 0.6-2.5 and a fluid pressure drop range of 1.0-12.1. At fluid flow rate of 0.6 GPM and airflow of 350 CFM, the capacity is 13.8 MBH and the APD is 0.14 in. w.g.</t>
    </r>
  </si>
  <si>
    <r>
      <rPr>
        <b/>
        <sz val="11"/>
        <color theme="1"/>
        <rFont val="Calibri"/>
        <family val="2"/>
        <scheme val="minor"/>
      </rPr>
      <t>Example:</t>
    </r>
    <r>
      <rPr>
        <sz val="11"/>
        <color theme="1"/>
        <rFont val="Calibri"/>
        <family val="2"/>
        <scheme val="minor"/>
      </rPr>
      <t xml:space="preserve"> Series configuration (VSWF), 04SQ fan size, ECM motor type, 1-Row Coil, has a maximum airflow of 1,495, fluid flow rate range of 0.5-8 GPM and a fluid pressure drop range of 0.07-13.44 ft. H2O. At fluid flow rate of 0.5 GPM and airflow of 1121 CFM, the capacity is 15.59 MBH and the APD is 0.096 in. w.g.</t>
    </r>
  </si>
  <si>
    <t>2. Width includes 5.5 in. for control enclosure
     Length does NOT include inlet cylinder (4 in. for inlet sizes 6-16 in. and 6.5 in. for inlet size 5 in.)
     Series configuration narrow corridor option adds 6.4 in. to width
     Suppressor attenuator adds 16 in. to length for parallel configuration
     Suppressor attenuator adds (02SQ 14 in., 03SQ-05SQ 16 in., 06SQ-07SQ 20 in.) to width for series config.</t>
  </si>
  <si>
    <r>
      <t>L x W x H (inches)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</si>
  <si>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Acoustics NC Value</t>
    </r>
    <r>
      <rPr>
        <b/>
        <i/>
        <vertAlign val="subscript"/>
        <sz val="11"/>
        <color theme="0"/>
        <rFont val="Calibri"/>
        <family val="2"/>
        <scheme val="minor"/>
      </rPr>
      <t>1</t>
    </r>
  </si>
  <si>
    <r>
      <t>Maximum Airflow 
(CFM)</t>
    </r>
    <r>
      <rPr>
        <b/>
        <vertAlign val="subscript"/>
        <sz val="11"/>
        <color theme="1"/>
        <rFont val="Calibri"/>
        <family val="2"/>
        <scheme val="minor"/>
      </rPr>
      <t>4</t>
    </r>
  </si>
  <si>
    <t>3. Max kW available depends on voltage and stages required</t>
  </si>
  <si>
    <t>4. Maximum airflow based on 0.25 in. wg. downstream static pressure</t>
  </si>
  <si>
    <r>
      <t>Electric Heat Capacity Range (kW)</t>
    </r>
    <r>
      <rPr>
        <b/>
        <i/>
        <vertAlign val="subscript"/>
        <sz val="11"/>
        <color theme="0"/>
        <rFont val="Calibri"/>
        <family val="2"/>
        <scheme val="minor"/>
      </rPr>
      <t>3</t>
    </r>
  </si>
  <si>
    <t>5. Coil located on plenum inlet for parallel configuration (unit discharge optional )
     Coil location on unit discharge for series configuration
     Capacity based on 55°F entering primary air, 70°F entering plenum air  and 180°F entering water
     Entering air conditions 62.5°F for series configuration (50% primary air and 50% plenum air)</t>
  </si>
  <si>
    <t>Original</t>
  </si>
  <si>
    <t>1R = 3-Row HW Coil</t>
  </si>
  <si>
    <t>2R = 4-Row HW Coil</t>
  </si>
  <si>
    <t>1R</t>
  </si>
  <si>
    <t>2R</t>
  </si>
  <si>
    <t>WPD1</t>
  </si>
  <si>
    <t>MBH1</t>
  </si>
  <si>
    <t>CFM1</t>
  </si>
  <si>
    <t>APD1</t>
  </si>
  <si>
    <t>6. Air pressure drop includes unit and hot water coil</t>
  </si>
  <si>
    <r>
      <t>APD (in. w.g.)</t>
    </r>
    <r>
      <rPr>
        <b/>
        <u/>
        <vertAlign val="subscript"/>
        <sz val="11"/>
        <color theme="1"/>
        <rFont val="Calibri"/>
        <family val="2"/>
        <scheme val="minor"/>
      </rPr>
      <t>6</t>
    </r>
  </si>
  <si>
    <t>CFM2</t>
  </si>
  <si>
    <t>MBH2</t>
  </si>
  <si>
    <t>APD2</t>
  </si>
  <si>
    <t>Key</t>
  </si>
  <si>
    <t>&lt;15</t>
  </si>
  <si>
    <t>22.4x17x9.5</t>
  </si>
  <si>
    <t>21.9x18x11.5</t>
  </si>
  <si>
    <t>22.9x21x13.5</t>
  </si>
  <si>
    <t>23.9x24x15.5</t>
  </si>
  <si>
    <t>24.9x26x19.5</t>
  </si>
  <si>
    <t>25.9x30x19.5</t>
  </si>
  <si>
    <t>28.9x34x19.5</t>
  </si>
  <si>
    <t>24.9x17x9.5</t>
  </si>
  <si>
    <r>
      <t>VariTrane</t>
    </r>
    <r>
      <rPr>
        <b/>
        <sz val="14"/>
        <color theme="1"/>
        <rFont val="Calibri"/>
        <family val="2"/>
      </rPr>
      <t xml:space="preserve">™ Single Duct </t>
    </r>
    <r>
      <rPr>
        <b/>
        <sz val="14"/>
        <color theme="1"/>
        <rFont val="Calibri"/>
        <family val="2"/>
        <scheme val="minor"/>
      </rPr>
      <t>VAV Quick Select</t>
    </r>
  </si>
  <si>
    <r>
      <t>This tool is designed for estimating and scoping .  For complete selection performance the Trane</t>
    </r>
    <r>
      <rPr>
        <sz val="11"/>
        <color theme="1"/>
        <rFont val="Calibri"/>
        <family val="2"/>
      </rPr>
      <t>®</t>
    </r>
    <r>
      <rPr>
        <i/>
        <sz val="11"/>
        <color theme="1"/>
        <rFont val="Calibri"/>
        <family val="2"/>
        <scheme val="minor"/>
      </rPr>
      <t xml:space="preserve"> Select Assist</t>
    </r>
    <r>
      <rPr>
        <i/>
        <vertAlign val="superscript"/>
        <sz val="11"/>
        <color theme="1"/>
        <rFont val="Calibri"/>
        <family val="2"/>
        <scheme val="minor"/>
      </rPr>
      <t>TM</t>
    </r>
    <r>
      <rPr>
        <i/>
        <sz val="11"/>
        <color theme="1"/>
        <rFont val="Calibri"/>
        <family val="2"/>
        <scheme val="minor"/>
      </rPr>
      <t xml:space="preserve"> should be used.</t>
    </r>
  </si>
  <si>
    <r>
      <t>This tool is designed for estimating and scoping .  For complete selection performance the Trane® Select Assist</t>
    </r>
    <r>
      <rPr>
        <i/>
        <vertAlign val="superscript"/>
        <sz val="11"/>
        <color theme="1"/>
        <rFont val="Calibri"/>
        <family val="2"/>
        <scheme val="minor"/>
      </rPr>
      <t>TM</t>
    </r>
    <r>
      <rPr>
        <i/>
        <sz val="11"/>
        <color theme="1"/>
        <rFont val="Calibri"/>
        <family val="2"/>
        <scheme val="minor"/>
      </rPr>
      <t xml:space="preserve"> should be used.</t>
    </r>
  </si>
  <si>
    <r>
      <t>1. NC values shown are based on VCCF with 0.75 in. w.g. inlet static pressure, 0.25 in. w.g downstream static pressure and AHRI 885-08 transfer functions. NC values for VPCF and VSCF models. Ultiize Trane® Select Assist</t>
    </r>
    <r>
      <rPr>
        <vertAlign val="superscript"/>
        <sz val="11"/>
        <color theme="1"/>
        <rFont val="Calibri"/>
        <family val="2"/>
        <scheme val="minor"/>
      </rPr>
      <t>TM</t>
    </r>
    <r>
      <rPr>
        <sz val="11"/>
        <color theme="1"/>
        <rFont val="Calibri"/>
        <family val="2"/>
        <scheme val="minor"/>
      </rPr>
      <t xml:space="preserve"> for additional acoustical performance.</t>
    </r>
  </si>
  <si>
    <t>VSCF = Series FP VAV unit without reheat</t>
  </si>
  <si>
    <t>VSEF = Series FP VAV unit with electric reheat</t>
  </si>
  <si>
    <t>VSWF = Series FP VAV unit with hot water reheat</t>
  </si>
  <si>
    <t>VPCF = Parallel FP VAV unit without reheat</t>
  </si>
  <si>
    <t>VPEF = Parallel FP VAV unit with electric reheat</t>
  </si>
  <si>
    <t>VPWF = Parallel FP VAV unit with hot water reheat</t>
  </si>
  <si>
    <t>3. VCCF and VCWF width includes 5.5 in. for control enclosure
     VCEF width includes 6 in. for controls enclosure
     Length includes inlet reducer (sizes 4 &amp; 5), inlet cylinder and discharge slip &amp; drive  connection
     VCWF length includes 1/2-row coil length. Add 1.5 in. for 3 and 4-row coils</t>
  </si>
  <si>
    <t xml:space="preserve">2. NC values shown are based on VCCF with 0.75 in. w.g. inlet static pressure, 0.25 in. w.g downstream static pressure and AHRI </t>
  </si>
  <si>
    <t>885-08 transfer functions. NC values for VCCF model. Ultiize Trane® Select AssistTM for additional acoustical performance.</t>
  </si>
  <si>
    <t>16 in. x 24 in. rect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</si>
</sst>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0.000"/>
    <numFmt numFmtId="166" formatCode="0.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.5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color theme="1"/>
      <name val="Calibri"/>
      <family val="2"/>
    </font>
    <font>
      <b/>
      <i/>
      <sz val="11"/>
      <color theme="0"/>
      <name val="Calibri"/>
      <family val="2"/>
      <scheme val="minor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1"/>
      <color theme="1"/>
      <name val="Calibri"/>
      <family val="2"/>
    </font>
    <font>
      <b/>
      <u/>
      <vertAlign val="subscript"/>
      <sz val="11"/>
      <color theme="1"/>
      <name val="Calibri"/>
      <family val="2"/>
      <scheme val="minor"/>
    </font>
    <font>
      <b/>
      <u/>
      <sz val="11"/>
      <color theme="1"/>
      <name val="Calibri"/>
      <family val="2"/>
    </font>
    <font>
      <b/>
      <i/>
      <vertAlign val="subscript"/>
      <sz val="11"/>
      <color theme="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i/>
      <vertAlign val="superscript"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9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4">
    <xf numFmtId="0" fontId="0" fillId="0" borderId="0"/>
    <xf numFmtId="9" fontId="11" fillId="0" borderId="0" applyFont="0" applyFill="0" applyBorder="0" applyAlignment="0" applyProtection="0"/>
    <xf numFmtId="0" fontId="13" fillId="0" borderId="0">
      <alignment vertical="center"/>
    </xf>
    <xf numFmtId="9" fontId="13" fillId="0" borderId="0"/>
    <xf numFmtId="44" fontId="13" fillId="0" borderId="0"/>
    <xf numFmtId="42" fontId="13" fillId="0" borderId="0"/>
    <xf numFmtId="43" fontId="13" fillId="0" borderId="0"/>
    <xf numFmtId="41" fontId="13" fillId="0" borderId="0"/>
    <xf numFmtId="44" fontId="13" fillId="0" borderId="0"/>
    <xf numFmtId="44" fontId="13" fillId="0" borderId="0"/>
    <xf numFmtId="43" fontId="13" fillId="0" borderId="0"/>
    <xf numFmtId="44" fontId="13" fillId="0" borderId="0"/>
    <xf numFmtId="43" fontId="13" fillId="0" borderId="0"/>
    <xf numFmtId="44" fontId="13" fillId="0" borderId="0"/>
    <xf numFmtId="43" fontId="13" fillId="0" borderId="0"/>
    <xf numFmtId="43" fontId="13" fillId="0" borderId="0"/>
    <xf numFmtId="0" fontId="14" fillId="0" borderId="0">
      <alignment vertical="center"/>
    </xf>
    <xf numFmtId="9" fontId="14" fillId="0" borderId="0"/>
    <xf numFmtId="44" fontId="14" fillId="0" borderId="0"/>
    <xf numFmtId="42" fontId="14" fillId="0" borderId="0"/>
    <xf numFmtId="43" fontId="14" fillId="0" borderId="0"/>
    <xf numFmtId="41" fontId="14" fillId="0" borderId="0"/>
    <xf numFmtId="44" fontId="14" fillId="0" borderId="0"/>
    <xf numFmtId="44" fontId="14" fillId="0" borderId="0"/>
    <xf numFmtId="43" fontId="14" fillId="0" borderId="0"/>
    <xf numFmtId="44" fontId="14" fillId="0" borderId="0"/>
    <xf numFmtId="43" fontId="14" fillId="0" borderId="0"/>
    <xf numFmtId="43" fontId="14" fillId="0" borderId="0"/>
    <xf numFmtId="44" fontId="13" fillId="0" borderId="0"/>
    <xf numFmtId="44" fontId="13" fillId="0" borderId="0"/>
    <xf numFmtId="43" fontId="13" fillId="0" borderId="0"/>
    <xf numFmtId="43" fontId="13" fillId="0" borderId="0"/>
    <xf numFmtId="44" fontId="13" fillId="0" borderId="0"/>
    <xf numFmtId="44" fontId="13" fillId="0" borderId="0"/>
    <xf numFmtId="43" fontId="13" fillId="0" borderId="0"/>
    <xf numFmtId="44" fontId="13" fillId="0" borderId="0"/>
    <xf numFmtId="43" fontId="13" fillId="0" borderId="0"/>
    <xf numFmtId="44" fontId="13" fillId="0" borderId="0"/>
    <xf numFmtId="43" fontId="13" fillId="0" borderId="0"/>
    <xf numFmtId="44" fontId="13" fillId="0" borderId="0"/>
    <xf numFmtId="43" fontId="13" fillId="0" borderId="0"/>
    <xf numFmtId="44" fontId="13" fillId="0" borderId="0"/>
    <xf numFmtId="43" fontId="13" fillId="0" borderId="0"/>
    <xf numFmtId="44" fontId="13" fillId="0" borderId="0"/>
    <xf numFmtId="43" fontId="13" fillId="0" borderId="0"/>
    <xf numFmtId="44" fontId="13" fillId="0" borderId="0"/>
    <xf numFmtId="43" fontId="13" fillId="0" borderId="0"/>
    <xf numFmtId="44" fontId="13" fillId="0" borderId="0"/>
    <xf numFmtId="43" fontId="13" fillId="0" borderId="0"/>
    <xf numFmtId="44" fontId="13" fillId="0" borderId="0"/>
    <xf numFmtId="43" fontId="13" fillId="0" borderId="0"/>
    <xf numFmtId="43" fontId="13" fillId="0" borderId="0"/>
    <xf numFmtId="44" fontId="14" fillId="0" borderId="0"/>
    <xf numFmtId="44" fontId="14" fillId="0" borderId="0"/>
    <xf numFmtId="43" fontId="14" fillId="0" borderId="0"/>
    <xf numFmtId="44" fontId="14" fillId="0" borderId="0"/>
    <xf numFmtId="43" fontId="14" fillId="0" borderId="0"/>
    <xf numFmtId="43" fontId="14" fillId="0" borderId="0"/>
    <xf numFmtId="44" fontId="14" fillId="0" borderId="0"/>
    <xf numFmtId="44" fontId="14" fillId="0" borderId="0"/>
    <xf numFmtId="43" fontId="14" fillId="0" borderId="0"/>
    <xf numFmtId="44" fontId="14" fillId="0" borderId="0"/>
    <xf numFmtId="43" fontId="14" fillId="0" borderId="0"/>
    <xf numFmtId="44" fontId="14" fillId="0" borderId="0"/>
    <xf numFmtId="43" fontId="14" fillId="0" borderId="0"/>
    <xf numFmtId="44" fontId="14" fillId="0" borderId="0"/>
    <xf numFmtId="43" fontId="14" fillId="0" borderId="0"/>
    <xf numFmtId="44" fontId="14" fillId="0" borderId="0"/>
    <xf numFmtId="43" fontId="14" fillId="0" borderId="0"/>
    <xf numFmtId="44" fontId="14" fillId="0" borderId="0"/>
    <xf numFmtId="43" fontId="14" fillId="0" borderId="0"/>
    <xf numFmtId="44" fontId="14" fillId="0" borderId="0"/>
    <xf numFmtId="43" fontId="14" fillId="0" borderId="0"/>
    <xf numFmtId="43" fontId="14" fillId="0" borderId="0"/>
    <xf numFmtId="44" fontId="14" fillId="0" borderId="0"/>
    <xf numFmtId="44" fontId="14" fillId="0" borderId="0"/>
    <xf numFmtId="43" fontId="14" fillId="0" borderId="0"/>
    <xf numFmtId="44" fontId="14" fillId="0" borderId="0"/>
    <xf numFmtId="43" fontId="14" fillId="0" borderId="0"/>
    <xf numFmtId="44" fontId="14" fillId="0" borderId="0"/>
    <xf numFmtId="43" fontId="14" fillId="0" borderId="0"/>
    <xf numFmtId="44" fontId="14" fillId="0" borderId="0"/>
    <xf numFmtId="43" fontId="14" fillId="0" borderId="0"/>
    <xf numFmtId="44" fontId="14" fillId="0" borderId="0"/>
    <xf numFmtId="43" fontId="14" fillId="0" borderId="0"/>
    <xf numFmtId="44" fontId="14" fillId="0" borderId="0"/>
    <xf numFmtId="43" fontId="14" fillId="0" borderId="0"/>
    <xf numFmtId="43" fontId="14" fillId="0" borderId="0"/>
    <xf numFmtId="44" fontId="14" fillId="0" borderId="0"/>
    <xf numFmtId="44" fontId="14" fillId="0" borderId="0"/>
    <xf numFmtId="43" fontId="14" fillId="0" borderId="0"/>
    <xf numFmtId="44" fontId="14" fillId="0" borderId="0"/>
    <xf numFmtId="43" fontId="14" fillId="0" borderId="0"/>
    <xf numFmtId="43" fontId="14" fillId="0" borderId="0"/>
  </cellStyleXfs>
  <cellXfs count="253">
    <xf numFmtId="0" fontId="0" fillId="0" borderId="0" xfId="0"/>
    <xf numFmtId="0" fontId="0" fillId="0" borderId="0" xfId="0" applyAlignment="1">
      <alignment horizontal="center"/>
    </xf>
    <xf numFmtId="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quotePrefix="1"/>
    <xf numFmtId="0" fontId="4" fillId="0" borderId="0" xfId="0" applyFont="1" applyAlignment="1">
      <alignment vertical="top" wrapText="1"/>
    </xf>
    <xf numFmtId="0" fontId="1" fillId="0" borderId="0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0" xfId="0" applyFont="1" applyBorder="1" applyAlignment="1">
      <alignment wrapText="1"/>
    </xf>
    <xf numFmtId="0" fontId="0" fillId="0" borderId="8" xfId="0" applyBorder="1" applyAlignment="1"/>
    <xf numFmtId="0" fontId="0" fillId="0" borderId="9" xfId="0" applyBorder="1" applyAlignment="1"/>
    <xf numFmtId="0" fontId="1" fillId="0" borderId="6" xfId="0" applyFont="1" applyBorder="1" applyAlignment="1">
      <alignment horizontal="center"/>
    </xf>
    <xf numFmtId="0" fontId="0" fillId="0" borderId="0" xfId="0" applyBorder="1" applyAlignment="1">
      <alignment horizontal="left"/>
    </xf>
    <xf numFmtId="0" fontId="2" fillId="0" borderId="0" xfId="0" applyFont="1" applyAlignment="1"/>
    <xf numFmtId="0" fontId="0" fillId="0" borderId="0" xfId="0" applyAlignment="1">
      <alignment vertical="top" wrapText="1"/>
    </xf>
    <xf numFmtId="0" fontId="0" fillId="0" borderId="0" xfId="0" applyBorder="1" applyAlignment="1">
      <alignment horizontal="left" wrapText="1"/>
    </xf>
    <xf numFmtId="0" fontId="9" fillId="2" borderId="0" xfId="0" applyFont="1" applyFill="1" applyBorder="1" applyAlignment="1">
      <alignment wrapText="1"/>
    </xf>
    <xf numFmtId="0" fontId="1" fillId="0" borderId="0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0" xfId="0" applyBorder="1" applyAlignment="1"/>
    <xf numFmtId="0" fontId="2" fillId="0" borderId="0" xfId="0" applyFont="1" applyBorder="1" applyAlignment="1">
      <alignment vertical="top" wrapText="1"/>
    </xf>
    <xf numFmtId="0" fontId="9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2" fillId="0" borderId="0" xfId="0" applyFont="1" applyBorder="1" applyAlignment="1">
      <alignment vertical="top"/>
    </xf>
    <xf numFmtId="0" fontId="3" fillId="0" borderId="0" xfId="0" applyFont="1" applyFill="1" applyBorder="1" applyAlignment="1"/>
    <xf numFmtId="0" fontId="2" fillId="0" borderId="0" xfId="0" applyFont="1" applyBorder="1" applyAlignment="1"/>
    <xf numFmtId="0" fontId="0" fillId="0" borderId="0" xfId="0" applyBorder="1" applyAlignment="1">
      <alignment vertical="top" wrapText="1"/>
    </xf>
    <xf numFmtId="0" fontId="1" fillId="0" borderId="0" xfId="0" applyFont="1" applyBorder="1" applyAlignment="1"/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13" xfId="0" applyFont="1" applyBorder="1" applyAlignment="1">
      <alignment wrapText="1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Font="1" applyAlignment="1">
      <alignment horizontal="center" vertical="center" wrapText="1"/>
    </xf>
    <xf numFmtId="0" fontId="0" fillId="0" borderId="0" xfId="0" applyAlignment="1"/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0" fillId="0" borderId="18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9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Border="1" applyAlignment="1">
      <alignment horizontal="left" wrapText="1"/>
    </xf>
    <xf numFmtId="0" fontId="0" fillId="0" borderId="0" xfId="0" applyBorder="1" applyAlignment="1">
      <alignment horizontal="left" vertical="top" wrapText="1"/>
    </xf>
    <xf numFmtId="0" fontId="1" fillId="0" borderId="0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/>
    <xf numFmtId="0" fontId="0" fillId="0" borderId="0" xfId="0" applyFill="1" applyAlignment="1">
      <alignment horizontal="left" vertical="center"/>
    </xf>
    <xf numFmtId="0" fontId="0" fillId="0" borderId="21" xfId="0" applyFont="1" applyBorder="1" applyAlignment="1">
      <alignment horizontal="center" vertical="center"/>
    </xf>
    <xf numFmtId="0" fontId="0" fillId="0" borderId="21" xfId="0" applyFont="1" applyBorder="1" applyAlignment="1"/>
    <xf numFmtId="0" fontId="0" fillId="0" borderId="21" xfId="0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0" fillId="0" borderId="21" xfId="0" applyFont="1" applyBorder="1" applyAlignment="1">
      <alignment vertical="center"/>
    </xf>
    <xf numFmtId="1" fontId="0" fillId="0" borderId="0" xfId="0" applyNumberFormat="1"/>
    <xf numFmtId="0" fontId="0" fillId="0" borderId="21" xfId="0" applyBorder="1"/>
    <xf numFmtId="1" fontId="0" fillId="0" borderId="21" xfId="0" applyNumberFormat="1" applyBorder="1"/>
    <xf numFmtId="0" fontId="1" fillId="0" borderId="0" xfId="0" applyFont="1"/>
    <xf numFmtId="0" fontId="0" fillId="3" borderId="21" xfId="0" applyFill="1" applyBorder="1"/>
    <xf numFmtId="0" fontId="0" fillId="0" borderId="21" xfId="0" applyFill="1" applyBorder="1"/>
    <xf numFmtId="0" fontId="13" fillId="0" borderId="21" xfId="2" applyFont="1" applyBorder="1" applyAlignment="1">
      <alignment horizontal="center" vertical="center" wrapText="1"/>
    </xf>
    <xf numFmtId="0" fontId="1" fillId="0" borderId="0" xfId="0" applyFont="1" applyBorder="1"/>
    <xf numFmtId="1" fontId="0" fillId="3" borderId="21" xfId="0" applyNumberFormat="1" applyFill="1" applyBorder="1" applyAlignment="1">
      <alignment horizontal="center" vertical="center"/>
    </xf>
    <xf numFmtId="0" fontId="14" fillId="0" borderId="21" xfId="16" applyFont="1" applyBorder="1" applyAlignment="1">
      <alignment horizontal="center" vertical="center" wrapText="1"/>
    </xf>
    <xf numFmtId="1" fontId="0" fillId="0" borderId="21" xfId="0" applyNumberFormat="1" applyBorder="1" applyAlignment="1">
      <alignment horizontal="center" vertical="center"/>
    </xf>
    <xf numFmtId="2" fontId="0" fillId="0" borderId="21" xfId="0" applyNumberFormat="1" applyBorder="1"/>
    <xf numFmtId="166" fontId="0" fillId="0" borderId="21" xfId="0" applyNumberFormat="1" applyBorder="1"/>
    <xf numFmtId="2" fontId="0" fillId="3" borderId="21" xfId="0" applyNumberFormat="1" applyFill="1" applyBorder="1" applyAlignment="1">
      <alignment horizontal="center" vertical="center"/>
    </xf>
    <xf numFmtId="165" fontId="0" fillId="3" borderId="21" xfId="0" applyNumberFormat="1" applyFill="1" applyBorder="1" applyAlignment="1">
      <alignment horizontal="center" vertical="center"/>
    </xf>
    <xf numFmtId="166" fontId="13" fillId="0" borderId="21" xfId="2" applyNumberFormat="1" applyFont="1" applyBorder="1" applyAlignment="1">
      <alignment horizontal="center" vertical="center" wrapText="1"/>
    </xf>
    <xf numFmtId="1" fontId="0" fillId="3" borderId="21" xfId="0" applyNumberFormat="1" applyFill="1" applyBorder="1"/>
    <xf numFmtId="0" fontId="0" fillId="0" borderId="21" xfId="0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/>
    </xf>
    <xf numFmtId="0" fontId="0" fillId="0" borderId="0" xfId="0" applyFill="1"/>
    <xf numFmtId="1" fontId="0" fillId="0" borderId="21" xfId="0" applyNumberFormat="1" applyFill="1" applyBorder="1" applyAlignment="1">
      <alignment horizontal="center" vertical="center"/>
    </xf>
    <xf numFmtId="1" fontId="0" fillId="0" borderId="21" xfId="0" applyNumberFormat="1" applyFill="1" applyBorder="1" applyAlignment="1">
      <alignment horizontal="center"/>
    </xf>
    <xf numFmtId="1" fontId="0" fillId="0" borderId="21" xfId="0" applyNumberFormat="1" applyBorder="1" applyAlignment="1">
      <alignment horizontal="center"/>
    </xf>
    <xf numFmtId="0" fontId="0" fillId="0" borderId="21" xfId="0" applyBorder="1" applyAlignment="1">
      <alignment horizontal="center"/>
    </xf>
    <xf numFmtId="9" fontId="0" fillId="0" borderId="21" xfId="0" applyNumberFormat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/>
    <xf numFmtId="1" fontId="0" fillId="4" borderId="21" xfId="0" applyNumberFormat="1" applyFill="1" applyBorder="1" applyAlignment="1">
      <alignment horizontal="center"/>
    </xf>
    <xf numFmtId="1" fontId="0" fillId="4" borderId="21" xfId="0" applyNumberFormat="1" applyFill="1" applyBorder="1" applyAlignment="1">
      <alignment horizontal="center" vertical="center"/>
    </xf>
    <xf numFmtId="9" fontId="0" fillId="0" borderId="0" xfId="0" applyNumberFormat="1" applyFill="1"/>
    <xf numFmtId="9" fontId="0" fillId="0" borderId="21" xfId="0" applyNumberFormat="1" applyFill="1" applyBorder="1" applyAlignment="1">
      <alignment horizontal="center"/>
    </xf>
    <xf numFmtId="1" fontId="0" fillId="4" borderId="0" xfId="0" applyNumberFormat="1" applyFill="1"/>
    <xf numFmtId="9" fontId="0" fillId="0" borderId="0" xfId="1" applyFont="1"/>
    <xf numFmtId="0" fontId="0" fillId="0" borderId="0" xfId="0" applyFill="1" applyBorder="1" applyAlignment="1">
      <alignment horizontal="left" vertical="center"/>
    </xf>
    <xf numFmtId="0" fontId="1" fillId="0" borderId="16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4" fillId="0" borderId="0" xfId="0" applyFont="1" applyAlignment="1">
      <alignment horizontal="center" vertical="top" wrapText="1"/>
    </xf>
    <xf numFmtId="0" fontId="0" fillId="0" borderId="0" xfId="0" applyAlignment="1">
      <alignment horizontal="left" wrapText="1"/>
    </xf>
    <xf numFmtId="0" fontId="9" fillId="2" borderId="0" xfId="0" applyFont="1" applyFill="1" applyBorder="1" applyAlignment="1">
      <alignment horizontal="left"/>
    </xf>
    <xf numFmtId="0" fontId="9" fillId="2" borderId="0" xfId="0" applyFont="1" applyFill="1" applyBorder="1" applyAlignment="1">
      <alignment horizontal="left" vertical="top"/>
    </xf>
    <xf numFmtId="0" fontId="7" fillId="0" borderId="7" xfId="0" applyFont="1" applyBorder="1" applyAlignment="1">
      <alignment horizontal="left"/>
    </xf>
    <xf numFmtId="0" fontId="7" fillId="0" borderId="8" xfId="0" applyFont="1" applyBorder="1" applyAlignment="1">
      <alignment horizontal="left"/>
    </xf>
    <xf numFmtId="0" fontId="7" fillId="0" borderId="9" xfId="0" applyFont="1" applyBorder="1" applyAlignment="1">
      <alignment horizontal="left"/>
    </xf>
    <xf numFmtId="0" fontId="4" fillId="0" borderId="0" xfId="0" applyFont="1" applyAlignment="1">
      <alignment horizontal="left" vertical="top" wrapText="1"/>
    </xf>
    <xf numFmtId="0" fontId="6" fillId="0" borderId="0" xfId="0" applyFont="1" applyBorder="1" applyAlignment="1">
      <alignment horizontal="left" wrapText="1"/>
    </xf>
    <xf numFmtId="0" fontId="9" fillId="2" borderId="8" xfId="0" applyFont="1" applyFill="1" applyBorder="1" applyAlignment="1">
      <alignment horizontal="left"/>
    </xf>
    <xf numFmtId="0" fontId="0" fillId="0" borderId="0" xfId="0" applyBorder="1" applyAlignment="1">
      <alignment horizontal="left" wrapText="1"/>
    </xf>
    <xf numFmtId="0" fontId="0" fillId="0" borderId="0" xfId="0" applyBorder="1" applyAlignment="1">
      <alignment horizontal="left" vertical="top" wrapText="1"/>
    </xf>
    <xf numFmtId="0" fontId="0" fillId="0" borderId="3" xfId="0" applyBorder="1" applyAlignment="1">
      <alignment horizontal="left" wrapText="1"/>
    </xf>
    <xf numFmtId="0" fontId="0" fillId="0" borderId="0" xfId="0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1" fontId="0" fillId="0" borderId="0" xfId="0" applyNumberFormat="1" applyFill="1" applyBorder="1" applyAlignment="1">
      <alignment horizontal="center" vertical="center"/>
    </xf>
    <xf numFmtId="1" fontId="0" fillId="0" borderId="0" xfId="0" applyNumberForma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21" xfId="0" applyBorder="1" applyAlignment="1">
      <alignment vertical="center"/>
    </xf>
    <xf numFmtId="0" fontId="0" fillId="0" borderId="2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9" fillId="2" borderId="0" xfId="0" applyFont="1" applyFill="1" applyBorder="1" applyAlignment="1">
      <alignment horizontal="left" wrapText="1"/>
    </xf>
    <xf numFmtId="0" fontId="0" fillId="0" borderId="1" xfId="0" applyBorder="1" applyAlignment="1" applyProtection="1">
      <alignment horizontal="center" vertical="center"/>
      <protection locked="0"/>
    </xf>
    <xf numFmtId="0" fontId="9" fillId="2" borderId="0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left" wrapText="1"/>
    </xf>
    <xf numFmtId="0" fontId="0" fillId="0" borderId="18" xfId="0" quotePrefix="1" applyFill="1" applyBorder="1" applyAlignment="1">
      <alignment horizontal="center" vertical="center"/>
    </xf>
    <xf numFmtId="0" fontId="0" fillId="0" borderId="20" xfId="0" quotePrefix="1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 wrapText="1"/>
    </xf>
    <xf numFmtId="0" fontId="0" fillId="0" borderId="20" xfId="0" applyFill="1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left"/>
    </xf>
    <xf numFmtId="0" fontId="1" fillId="0" borderId="0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0" fillId="0" borderId="5" xfId="0" applyFill="1" applyBorder="1"/>
    <xf numFmtId="0" fontId="0" fillId="0" borderId="6" xfId="0" applyFill="1" applyBorder="1" applyAlignment="1">
      <alignment horizontal="center"/>
    </xf>
    <xf numFmtId="0" fontId="0" fillId="0" borderId="7" xfId="0" applyFill="1" applyBorder="1"/>
    <xf numFmtId="0" fontId="0" fillId="0" borderId="8" xfId="0" applyFill="1" applyBorder="1"/>
    <xf numFmtId="0" fontId="0" fillId="0" borderId="8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5" borderId="5" xfId="0" applyFill="1" applyBorder="1"/>
    <xf numFmtId="0" fontId="0" fillId="5" borderId="0" xfId="0" applyFill="1" applyBorder="1"/>
    <xf numFmtId="0" fontId="0" fillId="5" borderId="0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3" xfId="0" applyFill="1" applyBorder="1"/>
    <xf numFmtId="0" fontId="0" fillId="0" borderId="0" xfId="0" applyFill="1" applyBorder="1" applyAlignment="1">
      <alignment horizontal="center" wrapText="1"/>
    </xf>
    <xf numFmtId="0" fontId="0" fillId="0" borderId="0" xfId="0" quotePrefix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14" xfId="0" applyFill="1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1" fillId="6" borderId="0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1" fillId="0" borderId="2" xfId="0" applyFont="1" applyBorder="1"/>
    <xf numFmtId="0" fontId="0" fillId="0" borderId="3" xfId="0" applyFill="1" applyBorder="1" applyAlignment="1">
      <alignment horizontal="center"/>
    </xf>
    <xf numFmtId="0" fontId="0" fillId="0" borderId="4" xfId="0" applyBorder="1"/>
    <xf numFmtId="0" fontId="1" fillId="0" borderId="7" xfId="0" applyFont="1" applyBorder="1" applyAlignment="1"/>
    <xf numFmtId="0" fontId="0" fillId="0" borderId="8" xfId="0" applyFont="1" applyFill="1" applyBorder="1" applyAlignment="1">
      <alignment horizontal="center"/>
    </xf>
    <xf numFmtId="0" fontId="0" fillId="0" borderId="9" xfId="0" applyBorder="1"/>
    <xf numFmtId="0" fontId="0" fillId="0" borderId="3" xfId="0" applyBorder="1"/>
    <xf numFmtId="0" fontId="1" fillId="6" borderId="5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7" xfId="0" applyFill="1" applyBorder="1" applyAlignment="1">
      <alignment horizontal="center"/>
    </xf>
    <xf numFmtId="1" fontId="0" fillId="0" borderId="8" xfId="0" applyNumberFormat="1" applyFill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9" fontId="2" fillId="0" borderId="0" xfId="0" applyNumberFormat="1" applyFont="1" applyBorder="1" applyAlignment="1">
      <alignment horizontal="center"/>
    </xf>
    <xf numFmtId="9" fontId="2" fillId="0" borderId="6" xfId="0" applyNumberFormat="1" applyFont="1" applyBorder="1" applyAlignment="1">
      <alignment horizontal="center"/>
    </xf>
    <xf numFmtId="0" fontId="0" fillId="0" borderId="0" xfId="0" applyBorder="1" applyAlignment="1">
      <alignment horizontal="center" wrapText="1"/>
    </xf>
    <xf numFmtId="0" fontId="9" fillId="2" borderId="0" xfId="0" applyFont="1" applyFill="1" applyBorder="1" applyAlignment="1"/>
    <xf numFmtId="0" fontId="0" fillId="0" borderId="0" xfId="0" applyFill="1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0" fillId="0" borderId="0" xfId="0" quotePrefix="1" applyBorder="1"/>
    <xf numFmtId="0" fontId="0" fillId="0" borderId="5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7" borderId="0" xfId="0" applyFill="1" applyAlignment="1">
      <alignment horizontal="center"/>
    </xf>
    <xf numFmtId="0" fontId="0" fillId="7" borderId="0" xfId="0" applyFont="1" applyFill="1" applyBorder="1" applyAlignment="1">
      <alignment horizontal="center" vertical="center" wrapText="1"/>
    </xf>
    <xf numFmtId="0" fontId="0" fillId="7" borderId="0" xfId="0" applyFont="1" applyFill="1" applyAlignment="1">
      <alignment horizontal="center" vertical="center" wrapText="1"/>
    </xf>
    <xf numFmtId="0" fontId="0" fillId="7" borderId="0" xfId="0" applyFill="1"/>
    <xf numFmtId="0" fontId="6" fillId="0" borderId="0" xfId="0" applyFont="1" applyBorder="1" applyAlignment="1">
      <alignment horizontal="center" wrapText="1"/>
    </xf>
    <xf numFmtId="0" fontId="21" fillId="0" borderId="11" xfId="0" applyFont="1" applyBorder="1" applyAlignment="1">
      <alignment horizontal="center"/>
    </xf>
    <xf numFmtId="0" fontId="21" fillId="0" borderId="0" xfId="0" applyFont="1" applyBorder="1" applyAlignment="1">
      <alignment horizontal="center"/>
    </xf>
  </cellXfs>
  <cellStyles count="94">
    <cellStyle name="Comma [0] 2" xfId="7" xr:uid="{AA9B42FA-D859-4D57-9EEC-B2CD07EC02BF}"/>
    <cellStyle name="Comma [0] 3" xfId="21" xr:uid="{5307DA32-D7D1-4706-8A82-7BB75D4843D2}"/>
    <cellStyle name="Comma 10" xfId="27" xr:uid="{4A2A577A-23AF-44C4-B3F9-A94AAE2F2668}"/>
    <cellStyle name="Comma 11" xfId="30" xr:uid="{03AE7689-0CF0-4B79-8400-3B13B4A5E0B5}"/>
    <cellStyle name="Comma 12" xfId="31" xr:uid="{CCEF89B2-CAB1-49FC-A217-E90707A0EA05}"/>
    <cellStyle name="Comma 13" xfId="34" xr:uid="{681ACECE-479F-4546-B9CB-A832D8DFD9A2}"/>
    <cellStyle name="Comma 14" xfId="36" xr:uid="{50508EA3-E68D-4833-A9F2-6D671E8136F7}"/>
    <cellStyle name="Comma 15" xfId="38" xr:uid="{DB8B39D0-6D16-4DBC-B964-71320AD5A741}"/>
    <cellStyle name="Comma 16" xfId="40" xr:uid="{D9E3CC60-4513-4F8C-8418-274B910845FF}"/>
    <cellStyle name="Comma 17" xfId="42" xr:uid="{5959EA83-0AAC-468A-A61F-5CDF1483B3D1}"/>
    <cellStyle name="Comma 18" xfId="44" xr:uid="{5D6A6343-A967-4AF7-8B2B-0DD5682B6131}"/>
    <cellStyle name="Comma 19" xfId="46" xr:uid="{15C77179-2255-480A-8719-8912F16F81C4}"/>
    <cellStyle name="Comma 2" xfId="6" xr:uid="{BA113AD7-63EC-4F83-9C28-6C1A4BD9F3FE}"/>
    <cellStyle name="Comma 20" xfId="48" xr:uid="{61B028A6-B10E-430F-9818-F729FF11CC77}"/>
    <cellStyle name="Comma 21" xfId="50" xr:uid="{9ECA02F7-FF96-4A03-BBFE-52E4CF4B251E}"/>
    <cellStyle name="Comma 22" xfId="51" xr:uid="{E79D8F4C-125D-4B86-A696-BE3E76AD3C5A}"/>
    <cellStyle name="Comma 23" xfId="54" xr:uid="{A5DA4147-9354-457A-8254-95DB19D4AEDF}"/>
    <cellStyle name="Comma 24" xfId="56" xr:uid="{451B4398-9B44-47E8-A70A-CA58D39BED4F}"/>
    <cellStyle name="Comma 25" xfId="57" xr:uid="{2FF46CE9-E993-45EA-AC6B-BE949A7F4B6E}"/>
    <cellStyle name="Comma 26" xfId="60" xr:uid="{6F864B7D-4CE2-43B2-92DA-1C666171C4AC}"/>
    <cellStyle name="Comma 27" xfId="62" xr:uid="{32A588EB-7F0D-444A-9333-A0FABC1500C6}"/>
    <cellStyle name="Comma 28" xfId="64" xr:uid="{A72E0411-013E-4A05-9A88-5AF3D47FE9AD}"/>
    <cellStyle name="Comma 29" xfId="66" xr:uid="{456E562D-CD5C-435E-9A7F-2C12B1473CE5}"/>
    <cellStyle name="Comma 3" xfId="10" xr:uid="{8E886982-DCCD-4FE7-85AA-2E47CDC35F89}"/>
    <cellStyle name="Comma 30" xfId="68" xr:uid="{939701C3-4B2A-4426-B744-B17733F6D6E8}"/>
    <cellStyle name="Comma 31" xfId="70" xr:uid="{1E35E15A-4B84-4553-A290-BFFAAA87D72D}"/>
    <cellStyle name="Comma 32" xfId="72" xr:uid="{C3A1B4AC-2C74-4CC6-89DD-DAA1EDE90172}"/>
    <cellStyle name="Comma 33" xfId="73" xr:uid="{ACB3F31C-58B6-4769-8041-3DB4942BB66D}"/>
    <cellStyle name="Comma 34" xfId="76" xr:uid="{73FBA963-7496-4E2A-941B-7034669D6041}"/>
    <cellStyle name="Comma 35" xfId="78" xr:uid="{1EA537F4-449C-41F8-AEB7-112AB82BC5DC}"/>
    <cellStyle name="Comma 36" xfId="80" xr:uid="{82B1C4E1-EA3E-4C5D-902C-26F0BD577A40}"/>
    <cellStyle name="Comma 37" xfId="82" xr:uid="{8D7596E5-692B-4697-82C6-3AE2AB49BD8A}"/>
    <cellStyle name="Comma 38" xfId="84" xr:uid="{DE9FBBD5-3FA6-4CC1-A63A-93608CAFCB89}"/>
    <cellStyle name="Comma 39" xfId="86" xr:uid="{522E8230-AB47-49A0-B3C6-A402D90AA0A3}"/>
    <cellStyle name="Comma 4" xfId="12" xr:uid="{A244DF4B-FA71-477F-BB6B-189F01A2DDCE}"/>
    <cellStyle name="Comma 40" xfId="87" xr:uid="{14A8434A-3FF6-4E07-844D-D4F12F201A86}"/>
    <cellStyle name="Comma 41" xfId="90" xr:uid="{7BC5A017-1A3D-4926-AEAD-4A86CC3DF46E}"/>
    <cellStyle name="Comma 42" xfId="92" xr:uid="{A9659992-DE3F-45B3-80E4-30F6C52552CF}"/>
    <cellStyle name="Comma 43" xfId="93" xr:uid="{56B20E38-0C99-41BD-A34E-7C72359779AF}"/>
    <cellStyle name="Comma 5" xfId="14" xr:uid="{5385CBC4-0D57-4498-B991-BD1D84AA3FAF}"/>
    <cellStyle name="Comma 6" xfId="15" xr:uid="{DF155F8F-A22A-49C2-9024-B8CCC013F931}"/>
    <cellStyle name="Comma 7" xfId="20" xr:uid="{C914ACF6-3007-46F1-99C4-49B677B56820}"/>
    <cellStyle name="Comma 8" xfId="24" xr:uid="{7B8A1EE9-6692-4A78-BE81-D6F17257989A}"/>
    <cellStyle name="Comma 9" xfId="26" xr:uid="{29600C6D-93A3-4F36-A0E5-0DB74644B717}"/>
    <cellStyle name="Currency [0] 2" xfId="5" xr:uid="{85B42C3A-408C-4B06-846B-5501A1CB67DD}"/>
    <cellStyle name="Currency [0] 3" xfId="19" xr:uid="{C78700C5-7A5D-42B9-9BDC-A5897467797E}"/>
    <cellStyle name="Currency 10" xfId="25" xr:uid="{384E581E-0CA8-428B-980C-922A5B00C6FA}"/>
    <cellStyle name="Currency 11" xfId="28" xr:uid="{D780EE1A-C3F5-434D-8590-CCD11BB90FB3}"/>
    <cellStyle name="Currency 12" xfId="29" xr:uid="{16AE0EC8-CB8E-4F03-BD1F-A9740D39F7A3}"/>
    <cellStyle name="Currency 13" xfId="32" xr:uid="{D78FF7DC-61D6-4198-A784-060220488247}"/>
    <cellStyle name="Currency 14" xfId="33" xr:uid="{27F770C6-024B-43ED-A5FC-46906FA6948C}"/>
    <cellStyle name="Currency 15" xfId="35" xr:uid="{C52DE67A-CCC9-43AD-84EE-2ED470AEC914}"/>
    <cellStyle name="Currency 16" xfId="37" xr:uid="{2B6B4C0F-3F9E-481B-BD88-1B7DFCA82A73}"/>
    <cellStyle name="Currency 17" xfId="39" xr:uid="{0EA75CDD-7DAF-42E6-B473-F6CAAC97A7BD}"/>
    <cellStyle name="Currency 18" xfId="41" xr:uid="{1A22921D-CFD4-4D49-97DB-E5DDDA9EBF6D}"/>
    <cellStyle name="Currency 19" xfId="43" xr:uid="{B09A5EE5-ED72-4FBF-A13A-6C41832948F3}"/>
    <cellStyle name="Currency 2" xfId="4" xr:uid="{DB1338C9-2AF3-4456-ACE1-A511B601D2B7}"/>
    <cellStyle name="Currency 20" xfId="45" xr:uid="{A24AD683-33C9-407F-BC11-1D805361FBA0}"/>
    <cellStyle name="Currency 21" xfId="47" xr:uid="{87B4C1C4-EF6B-4D0D-9D25-771C9689D2DB}"/>
    <cellStyle name="Currency 22" xfId="49" xr:uid="{ADBCA88C-0ECE-4D11-8F12-FE554AE4B6F0}"/>
    <cellStyle name="Currency 23" xfId="52" xr:uid="{2EF6E3B9-76B4-4863-A2D7-0B58168DF435}"/>
    <cellStyle name="Currency 24" xfId="53" xr:uid="{48F308BA-13B1-4F33-997F-2151283E1EF4}"/>
    <cellStyle name="Currency 25" xfId="55" xr:uid="{B4D0EFF5-0B0F-41EB-9DEC-EE44FA09B14D}"/>
    <cellStyle name="Currency 26" xfId="58" xr:uid="{CCA49AFE-903F-43DF-8A30-4BB6627E2017}"/>
    <cellStyle name="Currency 27" xfId="59" xr:uid="{86A4DC73-B85B-4A10-928F-C08B1CEDF66D}"/>
    <cellStyle name="Currency 28" xfId="61" xr:uid="{B58E0D56-54DE-47EE-978E-E3A5FD37E72A}"/>
    <cellStyle name="Currency 29" xfId="63" xr:uid="{8205D990-D0CC-49E9-9E16-87AC32488402}"/>
    <cellStyle name="Currency 3" xfId="8" xr:uid="{CC64C1E6-03E0-4BA2-99BA-9CEC3ACF77B7}"/>
    <cellStyle name="Currency 30" xfId="65" xr:uid="{3D5BD5A7-FD55-4B41-A14D-931A6C1FFFBD}"/>
    <cellStyle name="Currency 31" xfId="67" xr:uid="{6562AC6B-6503-4073-A81D-B308FE6E325B}"/>
    <cellStyle name="Currency 32" xfId="69" xr:uid="{8FB0F459-AAE8-48E3-872E-5B0520AB5133}"/>
    <cellStyle name="Currency 33" xfId="71" xr:uid="{7AF7C1D8-CF77-4F46-9FD6-78A73BD0EC26}"/>
    <cellStyle name="Currency 34" xfId="74" xr:uid="{E87B9C58-AE79-43DD-8983-FBBB5A896EC1}"/>
    <cellStyle name="Currency 35" xfId="75" xr:uid="{D98E6948-A0C3-4BDC-8E51-12E996FEEB05}"/>
    <cellStyle name="Currency 36" xfId="77" xr:uid="{547DD266-B527-445C-88D1-84CB7FA8BCAD}"/>
    <cellStyle name="Currency 37" xfId="79" xr:uid="{74978431-0370-42BE-8A58-EE375100EB4A}"/>
    <cellStyle name="Currency 38" xfId="81" xr:uid="{8AA8B2D8-0C29-41EE-A800-C38C452CEEBD}"/>
    <cellStyle name="Currency 39" xfId="83" xr:uid="{B1FDF91A-A8CD-4368-BE4E-528BEA1BF2E7}"/>
    <cellStyle name="Currency 4" xfId="9" xr:uid="{E13897BE-0BEA-4647-B8D7-6C2F81874883}"/>
    <cellStyle name="Currency 40" xfId="85" xr:uid="{315A5E3D-84F3-4A37-A9C5-A1CC5DA2C282}"/>
    <cellStyle name="Currency 41" xfId="88" xr:uid="{8D985416-18EA-44B1-99FC-AD34B9ED2E29}"/>
    <cellStyle name="Currency 42" xfId="89" xr:uid="{B5A869C2-8F14-4781-A9F9-DFF7611A84D1}"/>
    <cellStyle name="Currency 43" xfId="91" xr:uid="{75A82A54-FC04-4D8E-BF9D-AACC66B7E2B6}"/>
    <cellStyle name="Currency 5" xfId="11" xr:uid="{824A73B7-15B6-4214-AB59-EBC63803A44F}"/>
    <cellStyle name="Currency 6" xfId="13" xr:uid="{5100C29B-27F1-490D-8B2E-4F21CE09CAE4}"/>
    <cellStyle name="Currency 7" xfId="18" xr:uid="{AF8C76C9-9165-4652-99D3-2BDC6A2E6D56}"/>
    <cellStyle name="Currency 8" xfId="22" xr:uid="{9C932BAF-A436-48CE-B4E5-4CE45ED1073B}"/>
    <cellStyle name="Currency 9" xfId="23" xr:uid="{DD247CA7-ED4F-4644-95ED-5EBDBA4DEE13}"/>
    <cellStyle name="Normal" xfId="0" builtinId="0"/>
    <cellStyle name="Normal 2" xfId="2" xr:uid="{36ED4717-0363-4D34-9A07-87C6137B9F88}"/>
    <cellStyle name="Normal 3" xfId="16" xr:uid="{323B4A0D-FF8E-48DB-B441-851537DED391}"/>
    <cellStyle name="Percent" xfId="1" builtinId="5"/>
    <cellStyle name="Percent 2" xfId="3" xr:uid="{DD3BAA5C-1455-4359-86BF-B4960790346F}"/>
    <cellStyle name="Percent 3" xfId="17" xr:uid="{C96ED05B-A883-49A6-821D-FD50E87CC9B3}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14257</xdr:colOff>
      <xdr:row>15</xdr:row>
      <xdr:rowOff>12944</xdr:rowOff>
    </xdr:from>
    <xdr:to>
      <xdr:col>2</xdr:col>
      <xdr:colOff>1000125</xdr:colOff>
      <xdr:row>20</xdr:row>
      <xdr:rowOff>180037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82" y="2727569"/>
          <a:ext cx="985868" cy="1119593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T80"/>
  <sheetViews>
    <sheetView showGridLines="0" tabSelected="1" workbookViewId="0">
      <selection activeCell="D8" sqref="D8"/>
    </sheetView>
  </sheetViews>
  <sheetFormatPr defaultColWidth="14.42578125" defaultRowHeight="15" x14ac:dyDescent="0.25"/>
  <cols>
    <col min="1" max="1" width="3.85546875" style="3" customWidth="1"/>
    <col min="2" max="2" width="2.7109375" style="1" customWidth="1"/>
    <col min="3" max="8" width="18.7109375" style="1" customWidth="1"/>
    <col min="9" max="9" width="2.7109375" style="1" customWidth="1"/>
    <col min="10" max="10" width="14.42578125" style="4"/>
    <col min="11" max="16384" width="14.42578125" style="1"/>
  </cols>
  <sheetData>
    <row r="1" spans="2:17" s="77" customFormat="1" ht="6.75" customHeight="1" thickBot="1" x14ac:dyDescent="0.3">
      <c r="J1" s="4"/>
    </row>
    <row r="2" spans="2:17" ht="19.5" thickTop="1" x14ac:dyDescent="0.3">
      <c r="B2" s="42"/>
      <c r="C2" s="251" t="s">
        <v>530</v>
      </c>
      <c r="D2" s="251"/>
      <c r="E2" s="251"/>
      <c r="F2" s="251"/>
      <c r="G2" s="251"/>
      <c r="H2" s="251"/>
      <c r="I2" s="43"/>
    </row>
    <row r="3" spans="2:17" s="3" customFormat="1" ht="15" customHeight="1" x14ac:dyDescent="0.25">
      <c r="B3" s="44"/>
      <c r="C3" s="250" t="s">
        <v>532</v>
      </c>
      <c r="D3" s="250"/>
      <c r="E3" s="250"/>
      <c r="F3" s="250"/>
      <c r="G3" s="250"/>
      <c r="H3" s="250"/>
      <c r="I3" s="45"/>
      <c r="J3" s="4"/>
    </row>
    <row r="4" spans="2:17" s="3" customFormat="1" x14ac:dyDescent="0.25">
      <c r="B4" s="44"/>
      <c r="C4" s="31" t="s">
        <v>56</v>
      </c>
      <c r="D4" s="18"/>
      <c r="E4" s="18"/>
      <c r="F4" s="18"/>
      <c r="G4" s="18"/>
      <c r="H4" s="18"/>
      <c r="I4" s="45"/>
      <c r="J4" s="4"/>
    </row>
    <row r="5" spans="2:17" s="3" customFormat="1" x14ac:dyDescent="0.25">
      <c r="B5" s="44"/>
      <c r="C5" s="32" t="s">
        <v>57</v>
      </c>
      <c r="D5" s="18"/>
      <c r="E5" s="18"/>
      <c r="F5" s="18"/>
      <c r="G5" s="18"/>
      <c r="H5" s="18"/>
      <c r="I5" s="45"/>
      <c r="J5" s="4"/>
    </row>
    <row r="6" spans="2:17" s="3" customFormat="1" x14ac:dyDescent="0.25">
      <c r="B6" s="44"/>
      <c r="C6" s="32" t="s">
        <v>479</v>
      </c>
      <c r="D6" s="18"/>
      <c r="E6" s="18"/>
      <c r="F6" s="18"/>
      <c r="G6" s="18"/>
      <c r="H6" s="18"/>
      <c r="I6" s="45"/>
      <c r="J6" s="4"/>
    </row>
    <row r="7" spans="2:17" s="3" customFormat="1" ht="7.5" customHeight="1" thickBot="1" x14ac:dyDescent="0.3">
      <c r="B7" s="44"/>
      <c r="C7" s="31"/>
      <c r="D7" s="18"/>
      <c r="E7" s="18"/>
      <c r="F7" s="18"/>
      <c r="G7" s="18"/>
      <c r="H7" s="18"/>
      <c r="I7" s="45"/>
      <c r="J7" s="4"/>
    </row>
    <row r="8" spans="2:17" s="3" customFormat="1" ht="15.75" thickBot="1" x14ac:dyDescent="0.3">
      <c r="B8" s="44"/>
      <c r="C8" s="30" t="s">
        <v>9</v>
      </c>
      <c r="D8" s="70"/>
      <c r="E8" s="18"/>
      <c r="F8" s="18"/>
      <c r="G8" s="18"/>
      <c r="H8" s="18"/>
      <c r="I8" s="45"/>
      <c r="J8" s="4"/>
    </row>
    <row r="9" spans="2:17" s="3" customFormat="1" ht="6.95" customHeight="1" x14ac:dyDescent="0.25">
      <c r="B9" s="44"/>
      <c r="C9" s="22"/>
      <c r="D9" s="10"/>
      <c r="E9" s="18"/>
      <c r="F9" s="18"/>
      <c r="G9" s="18"/>
      <c r="H9" s="18"/>
      <c r="I9" s="45"/>
      <c r="J9" s="4"/>
    </row>
    <row r="10" spans="2:17" ht="15.75" thickBot="1" x14ac:dyDescent="0.3">
      <c r="B10" s="44"/>
      <c r="C10" s="134" t="s">
        <v>59</v>
      </c>
      <c r="D10" s="134"/>
      <c r="E10" s="33"/>
      <c r="F10" s="33"/>
      <c r="G10" s="33"/>
      <c r="H10" s="33"/>
      <c r="I10" s="45"/>
    </row>
    <row r="11" spans="2:17" ht="15" customHeight="1" x14ac:dyDescent="0.35">
      <c r="B11" s="46"/>
      <c r="C11" s="232" t="s">
        <v>490</v>
      </c>
      <c r="D11" s="233"/>
      <c r="E11" s="233" t="s">
        <v>491</v>
      </c>
      <c r="F11" s="233"/>
      <c r="G11" s="233" t="s">
        <v>492</v>
      </c>
      <c r="H11" s="234"/>
      <c r="I11" s="45"/>
      <c r="P11" s="4"/>
    </row>
    <row r="12" spans="2:17" x14ac:dyDescent="0.25">
      <c r="B12" s="46"/>
      <c r="C12" s="235" t="s">
        <v>10</v>
      </c>
      <c r="D12" s="203" t="s">
        <v>46</v>
      </c>
      <c r="E12" s="236" t="s">
        <v>71</v>
      </c>
      <c r="F12" s="236" t="s">
        <v>70</v>
      </c>
      <c r="G12" s="236" t="s">
        <v>71</v>
      </c>
      <c r="H12" s="237" t="s">
        <v>70</v>
      </c>
      <c r="I12" s="45"/>
    </row>
    <row r="13" spans="2:17" ht="15" customHeight="1" thickBot="1" x14ac:dyDescent="0.3">
      <c r="B13" s="46"/>
      <c r="C13" s="12" t="str">
        <f>IF(ISBLANK($D$8),"------",VLOOKUP($D$8,'SD Background Data'!$B$3:$L$11,2,FALSE))</f>
        <v>------</v>
      </c>
      <c r="D13" s="13" t="str">
        <f>IF(ISBLANK($D$8),"------",VLOOKUP($D$8,'SD Background Data'!$B$3:$L$11,3,FALSE))</f>
        <v>------</v>
      </c>
      <c r="E13" s="13" t="str">
        <f>IF(ISBLANK($D$8),"------",VLOOKUP($D$8,'SD Background Data'!$B$3:$L$11,5,FALSE))</f>
        <v>------</v>
      </c>
      <c r="F13" s="13" t="str">
        <f>IF(ISBLANK($D$8),"------",VLOOKUP($D$8,'SD Background Data'!$B$3:$L$11,6,FALSE))</f>
        <v>------</v>
      </c>
      <c r="G13" s="13" t="str">
        <f>IF(ISBLANK($D$8),"------",VLOOKUP($D$8,'SD Background Data'!$B$3:$L$11,7,FALSE))</f>
        <v>------</v>
      </c>
      <c r="H13" s="14" t="str">
        <f>IF(ISBLANK($D$8),"------",VLOOKUP($D$8,'SD Background Data'!$B$3:$L$11,8,FALSE))</f>
        <v>------</v>
      </c>
      <c r="I13" s="45"/>
      <c r="O13" s="132"/>
      <c r="P13" s="132"/>
      <c r="Q13" s="132"/>
    </row>
    <row r="14" spans="2:17" s="3" customFormat="1" ht="6.95" customHeight="1" x14ac:dyDescent="0.25">
      <c r="B14" s="46"/>
      <c r="C14" s="10"/>
      <c r="D14" s="10"/>
      <c r="E14" s="10"/>
      <c r="F14" s="10"/>
      <c r="G14" s="10"/>
      <c r="H14" s="10"/>
      <c r="I14" s="45"/>
      <c r="J14" s="4"/>
      <c r="O14" s="132"/>
      <c r="P14" s="132"/>
      <c r="Q14" s="132"/>
    </row>
    <row r="15" spans="2:17" s="3" customFormat="1" ht="15.75" thickBot="1" x14ac:dyDescent="0.3">
      <c r="B15" s="46"/>
      <c r="C15" s="127" t="s">
        <v>60</v>
      </c>
      <c r="D15" s="127"/>
      <c r="E15" s="10"/>
      <c r="F15" s="10"/>
      <c r="G15" s="10"/>
      <c r="H15" s="10"/>
      <c r="I15" s="45"/>
      <c r="J15" s="4"/>
      <c r="O15" s="132"/>
      <c r="P15" s="132"/>
      <c r="Q15" s="132"/>
    </row>
    <row r="16" spans="2:17" s="3" customFormat="1" ht="15" customHeight="1" x14ac:dyDescent="0.25">
      <c r="B16" s="46"/>
      <c r="C16" s="19"/>
      <c r="D16" s="20"/>
      <c r="E16" s="20"/>
      <c r="F16" s="20"/>
      <c r="G16" s="20"/>
      <c r="H16" s="21"/>
      <c r="I16" s="45"/>
      <c r="J16" s="4"/>
      <c r="O16" s="132"/>
      <c r="P16" s="132"/>
      <c r="Q16" s="132"/>
    </row>
    <row r="17" spans="2:17" ht="15" customHeight="1" x14ac:dyDescent="0.35">
      <c r="B17" s="46"/>
      <c r="C17" s="9"/>
      <c r="D17" s="231" t="s">
        <v>489</v>
      </c>
      <c r="E17" s="10"/>
      <c r="F17" s="10"/>
      <c r="H17" s="11"/>
      <c r="I17" s="45"/>
      <c r="O17" s="132"/>
      <c r="P17" s="132"/>
      <c r="Q17" s="132"/>
    </row>
    <row r="18" spans="2:17" s="3" customFormat="1" ht="15" customHeight="1" x14ac:dyDescent="0.25">
      <c r="B18" s="46"/>
      <c r="C18" s="9"/>
      <c r="D18" s="203" t="s">
        <v>12</v>
      </c>
      <c r="E18" s="203" t="s">
        <v>13</v>
      </c>
      <c r="F18" s="203" t="s">
        <v>14</v>
      </c>
      <c r="G18" s="5"/>
      <c r="H18" s="25"/>
      <c r="I18" s="45"/>
      <c r="J18" s="4"/>
      <c r="O18" s="17"/>
      <c r="P18" s="17"/>
      <c r="Q18" s="17"/>
    </row>
    <row r="19" spans="2:17" ht="15" customHeight="1" x14ac:dyDescent="0.25">
      <c r="B19" s="46"/>
      <c r="C19" s="9"/>
      <c r="D19" s="10" t="str">
        <f>IF(ISBLANK($D$8),"------",VLOOKUP($D$8,'SD Background Data'!$B$3:$L$11,9,FALSE))</f>
        <v>------</v>
      </c>
      <c r="E19" s="10" t="str">
        <f>IF(ISBLANK($D$8),"------",VLOOKUP($D$8,'SD Background Data'!$B$3:$L$11,10,FALSE))</f>
        <v>------</v>
      </c>
      <c r="F19" s="10" t="str">
        <f>IF(ISBLANK($D$8),"------",VLOOKUP($D$8,'SD Background Data'!$B$3:$L$11,11,FALSE))</f>
        <v>------</v>
      </c>
      <c r="H19" s="11"/>
      <c r="I19" s="45"/>
      <c r="O19" s="125"/>
      <c r="P19" s="125"/>
      <c r="Q19" s="125"/>
    </row>
    <row r="20" spans="2:17" s="3" customFormat="1" ht="15" customHeight="1" x14ac:dyDescent="0.25">
      <c r="B20" s="46"/>
      <c r="C20" s="9"/>
      <c r="D20" s="10"/>
      <c r="E20" s="10"/>
      <c r="F20" s="10"/>
      <c r="G20" s="10"/>
      <c r="H20" s="11"/>
      <c r="I20" s="45"/>
      <c r="J20" s="4"/>
      <c r="O20" s="125"/>
      <c r="P20" s="125"/>
      <c r="Q20" s="125"/>
    </row>
    <row r="21" spans="2:17" ht="15.75" thickBot="1" x14ac:dyDescent="0.3">
      <c r="B21" s="46"/>
      <c r="C21" s="12"/>
      <c r="D21" s="13"/>
      <c r="E21" s="13"/>
      <c r="F21" s="23"/>
      <c r="G21" s="23"/>
      <c r="H21" s="24"/>
      <c r="I21" s="45"/>
      <c r="O21" s="125"/>
      <c r="P21" s="125"/>
      <c r="Q21" s="125"/>
    </row>
    <row r="22" spans="2:17" s="3" customFormat="1" ht="6.95" customHeight="1" x14ac:dyDescent="0.25">
      <c r="B22" s="46"/>
      <c r="C22" s="10"/>
      <c r="D22" s="10"/>
      <c r="E22" s="10"/>
      <c r="F22" s="10"/>
      <c r="G22" s="10"/>
      <c r="H22" s="10"/>
      <c r="I22" s="45"/>
      <c r="J22" s="4"/>
      <c r="O22" s="125"/>
      <c r="P22" s="125"/>
      <c r="Q22" s="125"/>
    </row>
    <row r="23" spans="2:17" ht="15.75" thickBot="1" x14ac:dyDescent="0.3">
      <c r="B23" s="46"/>
      <c r="C23" s="128" t="s">
        <v>58</v>
      </c>
      <c r="D23" s="128"/>
      <c r="E23" s="34"/>
      <c r="F23" s="34"/>
      <c r="G23" s="34"/>
      <c r="H23" s="34"/>
      <c r="I23" s="45"/>
      <c r="O23" s="125"/>
      <c r="P23" s="125"/>
      <c r="Q23" s="125"/>
    </row>
    <row r="24" spans="2:17" x14ac:dyDescent="0.25">
      <c r="B24" s="46"/>
      <c r="C24" s="225" t="s">
        <v>62</v>
      </c>
      <c r="D24" s="226" t="s">
        <v>61</v>
      </c>
      <c r="E24" s="226"/>
      <c r="F24" s="227" t="s">
        <v>62</v>
      </c>
      <c r="G24" s="226" t="s">
        <v>61</v>
      </c>
      <c r="H24" s="228"/>
      <c r="I24" s="45"/>
    </row>
    <row r="25" spans="2:17" ht="15" customHeight="1" x14ac:dyDescent="0.25">
      <c r="B25" s="46"/>
      <c r="C25" s="229"/>
      <c r="D25" s="203" t="s">
        <v>12</v>
      </c>
      <c r="E25" s="203" t="s">
        <v>13</v>
      </c>
      <c r="F25" s="230"/>
      <c r="G25" s="203" t="s">
        <v>12</v>
      </c>
      <c r="H25" s="205" t="s">
        <v>13</v>
      </c>
      <c r="I25" s="45"/>
      <c r="O25" s="126"/>
      <c r="P25" s="126"/>
      <c r="Q25" s="126"/>
    </row>
    <row r="26" spans="2:17" ht="15.75" thickBot="1" x14ac:dyDescent="0.3">
      <c r="B26" s="46"/>
      <c r="C26" s="12" t="str">
        <f>IF(ISBLANK($D$8),"------",VLOOKUP($D$8,'SD Background Data'!$B$3:$X$11,12,FALSE))</f>
        <v>------</v>
      </c>
      <c r="D26" s="13" t="str">
        <f>IF(ISBLANK($D$8),"------",VLOOKUP($D$8,'SD Background Data'!$B$3:$X$11,13,FALSE))</f>
        <v>------</v>
      </c>
      <c r="E26" s="13" t="str">
        <f>IF(ISBLANK($D$8),"------",VLOOKUP($D$8,'SD Background Data'!$B$3:$X$11,14,FALSE))</f>
        <v>------</v>
      </c>
      <c r="F26" s="13" t="str">
        <f>IF(ISBLANK($D$8),"------",VLOOKUP($D$8,'SD Background Data'!$B$3:$X$11,15,FALSE))</f>
        <v>------</v>
      </c>
      <c r="G26" s="13" t="str">
        <f>IF(ISBLANK($D$8),"------",VLOOKUP($D$8,'SD Background Data'!$B$3:$X$11,16,FALSE))</f>
        <v>------</v>
      </c>
      <c r="H26" s="14" t="str">
        <f>IF(ISBLANK($D$8),"------",VLOOKUP($D$8,'SD Background Data'!$B$3:$X$11,17,FALSE))</f>
        <v>------</v>
      </c>
      <c r="I26" s="45"/>
      <c r="O26" s="126"/>
      <c r="P26" s="126"/>
      <c r="Q26" s="126"/>
    </row>
    <row r="27" spans="2:17" s="3" customFormat="1" ht="6.95" customHeight="1" x14ac:dyDescent="0.25">
      <c r="B27" s="46"/>
      <c r="C27" s="10"/>
      <c r="D27" s="10"/>
      <c r="E27" s="10"/>
      <c r="F27" s="10"/>
      <c r="G27" s="10"/>
      <c r="H27" s="10"/>
      <c r="I27" s="45"/>
      <c r="J27" s="4"/>
      <c r="O27" s="126"/>
      <c r="P27" s="126"/>
      <c r="Q27" s="126"/>
    </row>
    <row r="28" spans="2:17" ht="15" customHeight="1" thickBot="1" x14ac:dyDescent="0.3">
      <c r="B28" s="46"/>
      <c r="C28" s="35" t="s">
        <v>63</v>
      </c>
      <c r="D28" s="36"/>
      <c r="E28" s="37"/>
      <c r="F28" s="37"/>
      <c r="G28" s="37"/>
      <c r="H28" s="37"/>
      <c r="I28" s="45"/>
      <c r="O28" s="126"/>
      <c r="P28" s="126"/>
      <c r="Q28" s="126"/>
    </row>
    <row r="29" spans="2:17" ht="18" x14ac:dyDescent="0.35">
      <c r="B29" s="46"/>
      <c r="C29" s="222" t="s">
        <v>62</v>
      </c>
      <c r="D29" s="215" t="s">
        <v>487</v>
      </c>
      <c r="E29" s="215" t="s">
        <v>488</v>
      </c>
      <c r="F29" s="223" t="s">
        <v>62</v>
      </c>
      <c r="G29" s="215" t="s">
        <v>487</v>
      </c>
      <c r="H29" s="224" t="s">
        <v>488</v>
      </c>
      <c r="I29" s="45"/>
      <c r="O29" s="126"/>
      <c r="P29" s="126"/>
      <c r="Q29" s="126"/>
    </row>
    <row r="30" spans="2:17" x14ac:dyDescent="0.25">
      <c r="B30" s="46"/>
      <c r="C30" s="9" t="str">
        <f>IF(ISBLANK($D$8),"------",VLOOKUP($D$8,'SD Background Data'!$B$3:$X$11,18,FALSE))</f>
        <v>------</v>
      </c>
      <c r="D30" s="10" t="str">
        <f>IF(ISBLANK($D$8),"------",VLOOKUP($D$8,'SD Background Data'!$B$3:$X$11,19,FALSE))</f>
        <v>------</v>
      </c>
      <c r="E30" s="10" t="str">
        <f>IF(ISBLANK($D$8),"------",VLOOKUP($D$8,'SD Background Data'!$B$3:$X$11,20,FALSE))</f>
        <v>------</v>
      </c>
      <c r="F30" s="10" t="str">
        <f>IF(ISBLANK($D$8),"------",VLOOKUP($D$8,'SD Background Data'!$B$3:$X$11,21,FALSE))</f>
        <v>------</v>
      </c>
      <c r="G30" s="10" t="str">
        <f>IF(ISBLANK($D$8),"------",VLOOKUP($D$8,'SD Background Data'!$B$3:$X$11,22,FALSE))</f>
        <v>------</v>
      </c>
      <c r="H30" s="11" t="str">
        <f>IF(ISBLANK($D$8),"------",VLOOKUP($D$8,'SD Background Data'!$B$3:$X$11,23,FALSE))</f>
        <v>------</v>
      </c>
      <c r="I30" s="45"/>
      <c r="O30" s="126"/>
      <c r="P30" s="126"/>
      <c r="Q30" s="126"/>
    </row>
    <row r="31" spans="2:17" ht="15.75" thickBot="1" x14ac:dyDescent="0.3">
      <c r="B31" s="46"/>
      <c r="C31" s="129" t="s">
        <v>64</v>
      </c>
      <c r="D31" s="130"/>
      <c r="E31" s="130"/>
      <c r="F31" s="130"/>
      <c r="G31" s="130"/>
      <c r="H31" s="131"/>
      <c r="I31" s="45"/>
      <c r="O31" s="126"/>
      <c r="P31" s="126"/>
      <c r="Q31" s="126"/>
    </row>
    <row r="32" spans="2:17" ht="6.95" customHeight="1" x14ac:dyDescent="0.25">
      <c r="B32" s="46"/>
      <c r="C32" s="10"/>
      <c r="D32" s="10"/>
      <c r="E32" s="10"/>
      <c r="F32" s="10"/>
      <c r="G32" s="10"/>
      <c r="H32" s="10"/>
      <c r="I32" s="45"/>
    </row>
    <row r="33" spans="2:20" ht="15.75" thickBot="1" x14ac:dyDescent="0.3">
      <c r="B33" s="46"/>
      <c r="C33" s="134" t="s">
        <v>24</v>
      </c>
      <c r="D33" s="134"/>
      <c r="E33" s="38"/>
      <c r="F33" s="39"/>
      <c r="G33" s="39"/>
      <c r="H33" s="39"/>
      <c r="I33" s="45"/>
    </row>
    <row r="34" spans="2:20" x14ac:dyDescent="0.25">
      <c r="B34" s="46"/>
      <c r="C34" s="196" t="s">
        <v>65</v>
      </c>
      <c r="D34" s="197"/>
      <c r="E34" s="197"/>
      <c r="F34" s="197"/>
      <c r="G34" s="197"/>
      <c r="H34" s="198"/>
      <c r="I34" s="45"/>
      <c r="J34" s="1"/>
      <c r="O34" s="7"/>
    </row>
    <row r="35" spans="2:20" ht="18" x14ac:dyDescent="0.35">
      <c r="B35" s="46"/>
      <c r="C35" s="199" t="s">
        <v>73</v>
      </c>
      <c r="D35" s="200"/>
      <c r="E35" s="200"/>
      <c r="F35" s="200" t="s">
        <v>482</v>
      </c>
      <c r="G35" s="200"/>
      <c r="H35" s="201"/>
      <c r="I35" s="45"/>
      <c r="J35" s="1"/>
      <c r="O35" s="4"/>
    </row>
    <row r="36" spans="2:20" x14ac:dyDescent="0.25">
      <c r="B36" s="46"/>
      <c r="C36" s="122" t="str">
        <f>IF(ISBLANK($D$8),"------",VLOOKUP($D$8,'SD Background Data'!$B$3:$BD$11,24,FALSE))</f>
        <v>------</v>
      </c>
      <c r="D36" s="123"/>
      <c r="E36" s="123"/>
      <c r="F36" s="123" t="str">
        <f>IF(ISBLANK($D$8),"------",VLOOKUP($D$8,'SD Background Data'!$B$3:$BD$11,25,FALSE))</f>
        <v>------</v>
      </c>
      <c r="G36" s="123"/>
      <c r="H36" s="124"/>
      <c r="I36" s="45"/>
    </row>
    <row r="37" spans="2:20" ht="18" x14ac:dyDescent="0.35">
      <c r="B37" s="46"/>
      <c r="C37" s="202" t="s">
        <v>62</v>
      </c>
      <c r="D37" s="203" t="s">
        <v>483</v>
      </c>
      <c r="E37" s="203" t="s">
        <v>72</v>
      </c>
      <c r="F37" s="204" t="s">
        <v>62</v>
      </c>
      <c r="G37" s="203" t="s">
        <v>483</v>
      </c>
      <c r="H37" s="205" t="s">
        <v>516</v>
      </c>
      <c r="I37" s="45"/>
    </row>
    <row r="38" spans="2:20" ht="15.75" thickBot="1" x14ac:dyDescent="0.3">
      <c r="B38" s="46"/>
      <c r="C38" s="12" t="str">
        <f>IF(ISBLANK($D$8),"------",VLOOKUP($D$8,'SD Background Data'!$B$3:$BD$11,26,FALSE))</f>
        <v>------</v>
      </c>
      <c r="D38" s="13" t="str">
        <f>IF(ISBLANK($D$8),"------",VLOOKUP($D$8,'SD Background Data'!$B$3:$BD$11,27,FALSE))</f>
        <v>------</v>
      </c>
      <c r="E38" s="13" t="str">
        <f>IF(ISBLANK($D$8),"------",VLOOKUP($D$8,'SD Background Data'!$B$3:$BD$11,28,FALSE))</f>
        <v>------</v>
      </c>
      <c r="F38" s="13" t="str">
        <f>IF(ISBLANK($D$8),"------",VLOOKUP($D$8,'SD Background Data'!$B$3:$BD$11,29,FALSE))</f>
        <v>------</v>
      </c>
      <c r="G38" s="13" t="str">
        <f>IF(ISBLANK($D$8),"------",VLOOKUP($D$8,'SD Background Data'!$B$3:$BD$11,30,FALSE))</f>
        <v>------</v>
      </c>
      <c r="H38" s="14" t="str">
        <f>IF(ISBLANK($D$8),"------",VLOOKUP($D$8,'SD Background Data'!$B$3:$BD$11,31,FALSE))</f>
        <v>------</v>
      </c>
      <c r="I38" s="45"/>
    </row>
    <row r="39" spans="2:20" x14ac:dyDescent="0.25">
      <c r="B39" s="46"/>
      <c r="C39" s="196" t="s">
        <v>66</v>
      </c>
      <c r="D39" s="197"/>
      <c r="E39" s="197"/>
      <c r="F39" s="197"/>
      <c r="G39" s="197"/>
      <c r="H39" s="198"/>
      <c r="I39" s="45"/>
    </row>
    <row r="40" spans="2:20" ht="18" x14ac:dyDescent="0.35">
      <c r="B40" s="46"/>
      <c r="C40" s="199" t="s">
        <v>73</v>
      </c>
      <c r="D40" s="200"/>
      <c r="E40" s="200"/>
      <c r="F40" s="200" t="s">
        <v>482</v>
      </c>
      <c r="G40" s="200"/>
      <c r="H40" s="201"/>
      <c r="I40" s="45"/>
    </row>
    <row r="41" spans="2:20" x14ac:dyDescent="0.25">
      <c r="B41" s="46"/>
      <c r="C41" s="243" t="str">
        <f>IF(ISBLANK($D$8),"------",VLOOKUP($D$8,'SD Background Data'!$B$3:$BD$11,32,FALSE))</f>
        <v>------</v>
      </c>
      <c r="D41" s="244"/>
      <c r="E41" s="244"/>
      <c r="F41" s="244" t="str">
        <f>IF(ISBLANK($D$8),"------",VLOOKUP($D$8,'SD Background Data'!$B$3:$BD$11,33,FALSE))</f>
        <v>------</v>
      </c>
      <c r="G41" s="244"/>
      <c r="H41" s="245"/>
      <c r="I41" s="45"/>
      <c r="R41" s="27"/>
      <c r="S41" s="27"/>
      <c r="T41" s="27"/>
    </row>
    <row r="42" spans="2:20" ht="18" x14ac:dyDescent="0.35">
      <c r="B42" s="46"/>
      <c r="C42" s="202" t="s">
        <v>62</v>
      </c>
      <c r="D42" s="203" t="s">
        <v>483</v>
      </c>
      <c r="E42" s="203" t="s">
        <v>72</v>
      </c>
      <c r="F42" s="204" t="s">
        <v>62</v>
      </c>
      <c r="G42" s="203" t="s">
        <v>483</v>
      </c>
      <c r="H42" s="205" t="s">
        <v>516</v>
      </c>
      <c r="I42" s="45"/>
      <c r="R42" s="28"/>
      <c r="S42" s="28"/>
      <c r="T42" s="28"/>
    </row>
    <row r="43" spans="2:20" ht="15.75" thickBot="1" x14ac:dyDescent="0.3">
      <c r="B43" s="46"/>
      <c r="C43" s="12" t="str">
        <f>IF(ISBLANK($D$8),"------",VLOOKUP($D$8,'SD Background Data'!$B$3:$BD$11,34,FALSE))</f>
        <v>------</v>
      </c>
      <c r="D43" s="13" t="str">
        <f>IF(ISBLANK($D$8),"------",VLOOKUP($D$8,'SD Background Data'!$B$3:$BD$11,35,FALSE))</f>
        <v>------</v>
      </c>
      <c r="E43" s="13" t="str">
        <f>IF(ISBLANK($D$8),"------",VLOOKUP($D$8,'SD Background Data'!$B$3:$BD$11,36,FALSE))</f>
        <v>------</v>
      </c>
      <c r="F43" s="13" t="str">
        <f>IF(ISBLANK($D$8),"------",VLOOKUP($D$8,'SD Background Data'!$B$3:$BD$11,37,FALSE))</f>
        <v>------</v>
      </c>
      <c r="G43" s="13" t="str">
        <f>IF(ISBLANK($D$8),"------",VLOOKUP($D$8,'SD Background Data'!$B$3:$BD$11,38,FALSE))</f>
        <v>------</v>
      </c>
      <c r="H43" s="14" t="str">
        <f>IF(ISBLANK($D$8),"------",VLOOKUP($D$8,'SD Background Data'!$B$3:$BD$11,39,FALSE))</f>
        <v>------</v>
      </c>
      <c r="I43" s="45"/>
      <c r="R43" s="28"/>
      <c r="S43" s="28"/>
      <c r="T43" s="28"/>
    </row>
    <row r="44" spans="2:20" x14ac:dyDescent="0.25">
      <c r="B44" s="46"/>
      <c r="C44" s="196" t="s">
        <v>74</v>
      </c>
      <c r="D44" s="197"/>
      <c r="E44" s="197"/>
      <c r="F44" s="197"/>
      <c r="G44" s="197"/>
      <c r="H44" s="198"/>
      <c r="I44" s="45"/>
      <c r="O44" s="121"/>
      <c r="P44" s="121"/>
      <c r="Q44" s="121"/>
      <c r="R44" s="28"/>
      <c r="S44" s="28"/>
      <c r="T44" s="28"/>
    </row>
    <row r="45" spans="2:20" ht="18" x14ac:dyDescent="0.35">
      <c r="B45" s="46"/>
      <c r="C45" s="199" t="s">
        <v>73</v>
      </c>
      <c r="D45" s="200"/>
      <c r="E45" s="200"/>
      <c r="F45" s="200" t="s">
        <v>482</v>
      </c>
      <c r="G45" s="200"/>
      <c r="H45" s="201"/>
      <c r="I45" s="45"/>
      <c r="O45" s="121"/>
      <c r="P45" s="121"/>
      <c r="Q45" s="121"/>
      <c r="R45" s="28"/>
      <c r="S45" s="28"/>
      <c r="T45" s="28"/>
    </row>
    <row r="46" spans="2:20" x14ac:dyDescent="0.25">
      <c r="B46" s="46"/>
      <c r="C46" s="243" t="str">
        <f>IF(ISBLANK($D$8),"------",VLOOKUP($D$8,'SD Background Data'!$B$3:$BD$11,40,FALSE))</f>
        <v>------</v>
      </c>
      <c r="D46" s="244"/>
      <c r="E46" s="244"/>
      <c r="F46" s="244" t="str">
        <f>IF(ISBLANK($D$8),"------",VLOOKUP($D$8,'SD Background Data'!$B$3:$BD$11,41,FALSE))</f>
        <v>------</v>
      </c>
      <c r="G46" s="244"/>
      <c r="H46" s="245"/>
      <c r="I46" s="45"/>
      <c r="O46" s="121"/>
      <c r="P46" s="121"/>
      <c r="Q46" s="121"/>
      <c r="R46" s="28"/>
      <c r="S46" s="28"/>
      <c r="T46" s="28"/>
    </row>
    <row r="47" spans="2:20" ht="18" x14ac:dyDescent="0.35">
      <c r="B47" s="46"/>
      <c r="C47" s="202" t="s">
        <v>62</v>
      </c>
      <c r="D47" s="203" t="s">
        <v>483</v>
      </c>
      <c r="E47" s="203" t="s">
        <v>72</v>
      </c>
      <c r="F47" s="204" t="s">
        <v>62</v>
      </c>
      <c r="G47" s="203" t="s">
        <v>483</v>
      </c>
      <c r="H47" s="205" t="s">
        <v>516</v>
      </c>
      <c r="I47" s="45"/>
    </row>
    <row r="48" spans="2:20" ht="15.75" thickBot="1" x14ac:dyDescent="0.3">
      <c r="B48" s="46"/>
      <c r="C48" s="12" t="str">
        <f>IF(ISBLANK($D$8),"------",VLOOKUP($D$8,'SD Background Data'!$B$3:$BD$11,42,FALSE))</f>
        <v>------</v>
      </c>
      <c r="D48" s="13" t="str">
        <f>IF(ISBLANK($D$8),"------",VLOOKUP($D$8,'SD Background Data'!$B$3:$BD$11,43,FALSE))</f>
        <v>------</v>
      </c>
      <c r="E48" s="13" t="str">
        <f>IF(ISBLANK($D$8),"------",VLOOKUP($D$8,'SD Background Data'!$B$3:$BD$11,44,FALSE))</f>
        <v>------</v>
      </c>
      <c r="F48" s="13" t="str">
        <f>IF(ISBLANK($D$8),"------",VLOOKUP($D$8,'SD Background Data'!$B$3:$BD$11,45,FALSE))</f>
        <v>------</v>
      </c>
      <c r="G48" s="13" t="str">
        <f>IF(ISBLANK($D$8),"------",VLOOKUP($D$8,'SD Background Data'!$B$3:$BD$11,46,FALSE))</f>
        <v>------</v>
      </c>
      <c r="H48" s="14" t="str">
        <f>IF(ISBLANK($D$8),"------",VLOOKUP($D$8,'SD Background Data'!$B$3:$BD$11,47,FALSE))</f>
        <v>------</v>
      </c>
      <c r="I48" s="45"/>
    </row>
    <row r="49" spans="2:10" x14ac:dyDescent="0.25">
      <c r="B49" s="46"/>
      <c r="C49" s="196" t="s">
        <v>75</v>
      </c>
      <c r="D49" s="197"/>
      <c r="E49" s="197"/>
      <c r="F49" s="197"/>
      <c r="G49" s="197"/>
      <c r="H49" s="198"/>
      <c r="I49" s="45"/>
    </row>
    <row r="50" spans="2:10" ht="18" x14ac:dyDescent="0.35">
      <c r="B50" s="46"/>
      <c r="C50" s="199" t="s">
        <v>73</v>
      </c>
      <c r="D50" s="200"/>
      <c r="E50" s="200"/>
      <c r="F50" s="200" t="s">
        <v>482</v>
      </c>
      <c r="G50" s="200"/>
      <c r="H50" s="201"/>
      <c r="I50" s="45"/>
    </row>
    <row r="51" spans="2:10" x14ac:dyDescent="0.25">
      <c r="B51" s="46"/>
      <c r="C51" s="243" t="str">
        <f>IF(ISBLANK($D$8),"------",VLOOKUP($D$8,'SD Background Data'!$B$3:$BD$11,48,FALSE))</f>
        <v>------</v>
      </c>
      <c r="D51" s="244"/>
      <c r="E51" s="244"/>
      <c r="F51" s="244" t="str">
        <f>IF(ISBLANK($D$8),"------",VLOOKUP($D$8,'SD Background Data'!$B$3:$BD$11,49,FALSE))</f>
        <v>------</v>
      </c>
      <c r="G51" s="244"/>
      <c r="H51" s="245"/>
      <c r="I51" s="45"/>
    </row>
    <row r="52" spans="2:10" ht="18" x14ac:dyDescent="0.35">
      <c r="B52" s="46"/>
      <c r="C52" s="202" t="s">
        <v>62</v>
      </c>
      <c r="D52" s="203" t="s">
        <v>483</v>
      </c>
      <c r="E52" s="203" t="s">
        <v>72</v>
      </c>
      <c r="F52" s="204" t="s">
        <v>62</v>
      </c>
      <c r="G52" s="203" t="s">
        <v>483</v>
      </c>
      <c r="H52" s="205" t="s">
        <v>516</v>
      </c>
      <c r="I52" s="45"/>
    </row>
    <row r="53" spans="2:10" ht="15.75" thickBot="1" x14ac:dyDescent="0.3">
      <c r="B53" s="46"/>
      <c r="C53" s="12" t="str">
        <f>IF(ISBLANK($D$8),"------",VLOOKUP($D$8,'SD Background Data'!$B$3:$BD$11,50,FALSE))</f>
        <v>------</v>
      </c>
      <c r="D53" s="13" t="str">
        <f>IF(ISBLANK($D$8),"------",VLOOKUP($D$8,'SD Background Data'!$B$3:$BD$11,51,FALSE))</f>
        <v>------</v>
      </c>
      <c r="E53" s="13" t="str">
        <f>IF(ISBLANK($D$8),"------",VLOOKUP($D$8,'SD Background Data'!$B$3:$BD$11,52,FALSE))</f>
        <v>------</v>
      </c>
      <c r="F53" s="13" t="str">
        <f>IF(ISBLANK($D$8),"------",VLOOKUP($D$8,'SD Background Data'!$B$3:$BD$11,53,FALSE))</f>
        <v>------</v>
      </c>
      <c r="G53" s="13" t="str">
        <f>IF(ISBLANK($D$8),"------",VLOOKUP($D$8,'SD Background Data'!$B$3:$BD$11,54,FALSE))</f>
        <v>------</v>
      </c>
      <c r="H53" s="14" t="str">
        <f>IF(ISBLANK($D$8),"------",VLOOKUP($D$8,'SD Background Data'!$B$3:$BD$11,55,FALSE))</f>
        <v>------</v>
      </c>
      <c r="I53" s="45"/>
    </row>
    <row r="54" spans="2:10" s="3" customFormat="1" x14ac:dyDescent="0.25">
      <c r="B54" s="46"/>
      <c r="C54" s="137" t="s">
        <v>496</v>
      </c>
      <c r="D54" s="137"/>
      <c r="E54" s="137"/>
      <c r="F54" s="137"/>
      <c r="G54" s="137"/>
      <c r="H54" s="137"/>
      <c r="I54" s="45"/>
      <c r="J54" s="4"/>
    </row>
    <row r="55" spans="2:10" x14ac:dyDescent="0.25">
      <c r="B55" s="46"/>
      <c r="C55" s="135"/>
      <c r="D55" s="135"/>
      <c r="E55" s="135"/>
      <c r="F55" s="135"/>
      <c r="G55" s="135"/>
      <c r="H55" s="135"/>
      <c r="I55" s="45"/>
    </row>
    <row r="56" spans="2:10" s="3" customFormat="1" ht="6.95" customHeight="1" x14ac:dyDescent="0.25">
      <c r="B56" s="46"/>
      <c r="C56" s="29"/>
      <c r="D56" s="29"/>
      <c r="E56" s="29"/>
      <c r="F56" s="29"/>
      <c r="G56" s="29"/>
      <c r="H56" s="29"/>
      <c r="I56" s="45"/>
      <c r="J56" s="4"/>
    </row>
    <row r="57" spans="2:10" x14ac:dyDescent="0.25">
      <c r="B57" s="46"/>
      <c r="C57" s="31" t="s">
        <v>76</v>
      </c>
      <c r="D57" s="10"/>
      <c r="E57" s="10"/>
      <c r="F57" s="10"/>
      <c r="G57" s="10"/>
      <c r="H57" s="10"/>
      <c r="I57" s="45"/>
    </row>
    <row r="58" spans="2:10" x14ac:dyDescent="0.25">
      <c r="B58" s="46"/>
      <c r="C58" s="26" t="s">
        <v>55</v>
      </c>
      <c r="D58" s="10"/>
      <c r="E58" s="10"/>
      <c r="F58" s="10"/>
      <c r="G58" s="10"/>
      <c r="H58" s="10"/>
      <c r="I58" s="45"/>
    </row>
    <row r="59" spans="2:10" ht="15" customHeight="1" x14ac:dyDescent="0.25">
      <c r="B59" s="46"/>
      <c r="C59" s="238" t="s">
        <v>541</v>
      </c>
      <c r="D59" s="238"/>
      <c r="E59" s="238"/>
      <c r="F59" s="238"/>
      <c r="G59" s="238"/>
      <c r="H59" s="238"/>
      <c r="I59" s="45"/>
    </row>
    <row r="60" spans="2:10" x14ac:dyDescent="0.25">
      <c r="B60" s="46"/>
      <c r="C60" s="238" t="s">
        <v>542</v>
      </c>
      <c r="D60" s="238"/>
      <c r="E60" s="238"/>
      <c r="F60" s="238"/>
      <c r="G60" s="238"/>
      <c r="H60" s="238"/>
      <c r="I60" s="45"/>
    </row>
    <row r="61" spans="2:10" ht="15" customHeight="1" x14ac:dyDescent="0.25">
      <c r="B61" s="46"/>
      <c r="C61" s="136" t="s">
        <v>540</v>
      </c>
      <c r="D61" s="136"/>
      <c r="E61" s="136"/>
      <c r="F61" s="136"/>
      <c r="G61" s="136"/>
      <c r="H61" s="136"/>
      <c r="I61" s="45"/>
    </row>
    <row r="62" spans="2:10" x14ac:dyDescent="0.25">
      <c r="B62" s="46"/>
      <c r="C62" s="136"/>
      <c r="D62" s="136"/>
      <c r="E62" s="136"/>
      <c r="F62" s="136"/>
      <c r="G62" s="136"/>
      <c r="H62" s="136"/>
      <c r="I62" s="45"/>
    </row>
    <row r="63" spans="2:10" x14ac:dyDescent="0.25">
      <c r="B63" s="46"/>
      <c r="C63" s="136"/>
      <c r="D63" s="136"/>
      <c r="E63" s="136"/>
      <c r="F63" s="136"/>
      <c r="G63" s="136"/>
      <c r="H63" s="136"/>
      <c r="I63" s="45"/>
    </row>
    <row r="64" spans="2:10" x14ac:dyDescent="0.25">
      <c r="B64" s="46"/>
      <c r="C64" s="136"/>
      <c r="D64" s="136"/>
      <c r="E64" s="136"/>
      <c r="F64" s="136"/>
      <c r="G64" s="136"/>
      <c r="H64" s="136"/>
      <c r="I64" s="45"/>
    </row>
    <row r="65" spans="2:10" x14ac:dyDescent="0.25">
      <c r="B65" s="46"/>
      <c r="C65" s="7" t="s">
        <v>89</v>
      </c>
      <c r="D65" s="40"/>
      <c r="E65" s="40"/>
      <c r="F65" s="40"/>
      <c r="G65" s="40"/>
      <c r="H65" s="40"/>
      <c r="I65" s="45"/>
    </row>
    <row r="66" spans="2:10" s="77" customFormat="1" x14ac:dyDescent="0.25">
      <c r="B66" s="46"/>
      <c r="C66" s="26" t="s">
        <v>88</v>
      </c>
      <c r="D66" s="40"/>
      <c r="E66" s="40"/>
      <c r="F66" s="40"/>
      <c r="G66" s="40"/>
      <c r="H66" s="40"/>
      <c r="I66" s="45"/>
      <c r="J66" s="4"/>
    </row>
    <row r="67" spans="2:10" x14ac:dyDescent="0.25">
      <c r="B67" s="46"/>
      <c r="C67" s="4" t="s">
        <v>515</v>
      </c>
      <c r="D67" s="40"/>
      <c r="E67" s="40"/>
      <c r="F67" s="40"/>
      <c r="G67" s="40"/>
      <c r="H67" s="40"/>
      <c r="I67" s="45"/>
    </row>
    <row r="68" spans="2:10" ht="6.95" customHeight="1" x14ac:dyDescent="0.25">
      <c r="B68" s="46"/>
      <c r="C68" s="40"/>
      <c r="D68" s="40"/>
      <c r="E68" s="40"/>
      <c r="F68" s="40"/>
      <c r="G68" s="40"/>
      <c r="H68" s="40"/>
      <c r="I68" s="45"/>
    </row>
    <row r="69" spans="2:10" x14ac:dyDescent="0.25">
      <c r="B69" s="46"/>
      <c r="C69" s="31" t="s">
        <v>67</v>
      </c>
      <c r="D69" s="10"/>
      <c r="E69" s="10"/>
      <c r="F69" s="10"/>
      <c r="G69" s="10"/>
      <c r="H69" s="10"/>
      <c r="I69" s="45"/>
    </row>
    <row r="70" spans="2:10" x14ac:dyDescent="0.25">
      <c r="B70" s="46"/>
      <c r="C70" s="26" t="s">
        <v>69</v>
      </c>
      <c r="D70" s="10"/>
      <c r="E70" s="10"/>
      <c r="F70" s="10"/>
      <c r="G70" s="10"/>
      <c r="H70" s="10"/>
      <c r="I70" s="45"/>
    </row>
    <row r="71" spans="2:10" x14ac:dyDescent="0.25">
      <c r="B71" s="46"/>
      <c r="C71" s="26" t="s">
        <v>25</v>
      </c>
      <c r="D71" s="10"/>
      <c r="E71" s="10"/>
      <c r="F71" s="10"/>
      <c r="G71" s="10"/>
      <c r="H71" s="10"/>
      <c r="I71" s="45"/>
    </row>
    <row r="72" spans="2:10" x14ac:dyDescent="0.25">
      <c r="B72" s="46"/>
      <c r="C72" s="26" t="s">
        <v>68</v>
      </c>
      <c r="D72" s="10"/>
      <c r="E72" s="10"/>
      <c r="F72" s="10"/>
      <c r="G72" s="10"/>
      <c r="H72" s="10"/>
      <c r="I72" s="45"/>
    </row>
    <row r="73" spans="2:10" ht="6.95" customHeight="1" x14ac:dyDescent="0.25">
      <c r="B73" s="46"/>
      <c r="C73" s="10"/>
      <c r="D73" s="10"/>
      <c r="E73" s="10"/>
      <c r="F73" s="10"/>
      <c r="G73" s="10"/>
      <c r="H73" s="10"/>
      <c r="I73" s="45"/>
    </row>
    <row r="74" spans="2:10" x14ac:dyDescent="0.25">
      <c r="B74" s="46"/>
      <c r="C74" s="41" t="s">
        <v>23</v>
      </c>
      <c r="D74" s="41"/>
      <c r="E74" s="41"/>
      <c r="F74" s="10"/>
      <c r="G74" s="10"/>
      <c r="H74" s="10"/>
      <c r="I74" s="45"/>
    </row>
    <row r="75" spans="2:10" x14ac:dyDescent="0.25">
      <c r="B75" s="46"/>
      <c r="C75" s="33" t="s">
        <v>85</v>
      </c>
      <c r="D75" s="10"/>
      <c r="E75" s="10"/>
      <c r="F75" s="10"/>
      <c r="G75" s="10"/>
      <c r="H75" s="10"/>
      <c r="I75" s="45"/>
    </row>
    <row r="76" spans="2:10" x14ac:dyDescent="0.25">
      <c r="B76" s="46"/>
      <c r="C76" s="33" t="s">
        <v>86</v>
      </c>
      <c r="D76" s="10"/>
      <c r="E76" s="10"/>
      <c r="F76" s="10"/>
      <c r="G76" s="10"/>
      <c r="H76" s="10"/>
      <c r="I76" s="45"/>
    </row>
    <row r="77" spans="2:10" x14ac:dyDescent="0.25">
      <c r="B77" s="46"/>
      <c r="C77" s="33" t="s">
        <v>87</v>
      </c>
      <c r="D77" s="10"/>
      <c r="E77" s="10"/>
      <c r="F77" s="10"/>
      <c r="G77" s="10"/>
      <c r="H77" s="10"/>
      <c r="I77" s="45"/>
    </row>
    <row r="78" spans="2:10" x14ac:dyDescent="0.25">
      <c r="B78" s="46"/>
      <c r="C78" s="33" t="s">
        <v>90</v>
      </c>
      <c r="D78" s="10"/>
      <c r="E78" s="10"/>
      <c r="F78" s="10"/>
      <c r="G78" s="10"/>
      <c r="H78" s="50">
        <v>44152</v>
      </c>
      <c r="I78" s="45"/>
    </row>
    <row r="79" spans="2:10" ht="15.75" thickBot="1" x14ac:dyDescent="0.3">
      <c r="B79" s="47"/>
      <c r="C79" s="120" t="s">
        <v>91</v>
      </c>
      <c r="D79" s="120"/>
      <c r="E79" s="120"/>
      <c r="F79" s="48"/>
      <c r="G79" s="48"/>
      <c r="H79" s="48" t="s">
        <v>256</v>
      </c>
      <c r="I79" s="49"/>
    </row>
    <row r="80" spans="2:10" ht="15.75" thickTop="1" x14ac:dyDescent="0.25"/>
  </sheetData>
  <sheetProtection sheet="1" objects="1" scenarios="1" selectLockedCells="1"/>
  <mergeCells count="45">
    <mergeCell ref="C33:D33"/>
    <mergeCell ref="C61:H64"/>
    <mergeCell ref="C54:H55"/>
    <mergeCell ref="C50:E50"/>
    <mergeCell ref="F50:H50"/>
    <mergeCell ref="C51:E51"/>
    <mergeCell ref="F51:H51"/>
    <mergeCell ref="C45:E45"/>
    <mergeCell ref="F45:H45"/>
    <mergeCell ref="C46:E46"/>
    <mergeCell ref="F46:H46"/>
    <mergeCell ref="C49:H49"/>
    <mergeCell ref="C36:E36"/>
    <mergeCell ref="F36:H36"/>
    <mergeCell ref="C39:H39"/>
    <mergeCell ref="C2:H2"/>
    <mergeCell ref="C11:D11"/>
    <mergeCell ref="E11:F11"/>
    <mergeCell ref="C3:H3"/>
    <mergeCell ref="C10:D10"/>
    <mergeCell ref="G11:H11"/>
    <mergeCell ref="O19:Q23"/>
    <mergeCell ref="O25:Q31"/>
    <mergeCell ref="C15:D15"/>
    <mergeCell ref="C23:D23"/>
    <mergeCell ref="C31:H31"/>
    <mergeCell ref="D24:E24"/>
    <mergeCell ref="G24:H24"/>
    <mergeCell ref="C24:C25"/>
    <mergeCell ref="F24:F25"/>
    <mergeCell ref="O13:Q17"/>
    <mergeCell ref="C79:E79"/>
    <mergeCell ref="O44:Q44"/>
    <mergeCell ref="O45:Q45"/>
    <mergeCell ref="O46:Q46"/>
    <mergeCell ref="C41:E41"/>
    <mergeCell ref="F41:H41"/>
    <mergeCell ref="C44:H44"/>
    <mergeCell ref="C59:H59"/>
    <mergeCell ref="C60:H60"/>
    <mergeCell ref="C40:E40"/>
    <mergeCell ref="F40:H40"/>
    <mergeCell ref="C34:H34"/>
    <mergeCell ref="C35:E35"/>
    <mergeCell ref="F35:H35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'SD Background Data'!$B$3:$B$11</xm:f>
          </x14:formula1>
          <xm:sqref>D8:D9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3036A-A9EC-419E-A578-235764DA52A6}">
  <dimension ref="A1:P74"/>
  <sheetViews>
    <sheetView showGridLines="0" workbookViewId="0">
      <selection activeCell="D9" sqref="D9"/>
    </sheetView>
  </sheetViews>
  <sheetFormatPr defaultRowHeight="15" x14ac:dyDescent="0.25"/>
  <cols>
    <col min="1" max="1" width="9.140625" style="78"/>
    <col min="2" max="2" width="2.7109375" customWidth="1"/>
    <col min="3" max="3" width="17.5703125" customWidth="1"/>
    <col min="4" max="4" width="14.140625" style="78" customWidth="1"/>
    <col min="5" max="5" width="9.5703125" customWidth="1"/>
    <col min="6" max="6" width="10.5703125" customWidth="1"/>
    <col min="7" max="7" width="10" customWidth="1"/>
    <col min="8" max="8" width="11.140625" bestFit="1" customWidth="1"/>
    <col min="9" max="9" width="10.85546875" customWidth="1"/>
    <col min="10" max="10" width="10" bestFit="1" customWidth="1"/>
    <col min="11" max="11" width="2.85546875" customWidth="1"/>
    <col min="13" max="13" width="14.85546875" hidden="1" customWidth="1"/>
    <col min="14" max="14" width="11.42578125" hidden="1" customWidth="1"/>
    <col min="15" max="16" width="0" hidden="1" customWidth="1"/>
  </cols>
  <sheetData>
    <row r="1" spans="2:15" s="78" customFormat="1" ht="6.75" customHeight="1" thickBot="1" x14ac:dyDescent="0.3">
      <c r="B1" s="193"/>
      <c r="C1" s="193"/>
      <c r="D1" s="193"/>
      <c r="E1" s="193"/>
      <c r="F1" s="193"/>
      <c r="G1" s="193"/>
      <c r="H1" s="193"/>
      <c r="I1" s="193"/>
      <c r="J1" s="193"/>
      <c r="K1" s="193"/>
    </row>
    <row r="2" spans="2:15" ht="19.5" thickTop="1" x14ac:dyDescent="0.3">
      <c r="B2" s="185"/>
      <c r="C2" s="252" t="s">
        <v>476</v>
      </c>
      <c r="D2" s="252"/>
      <c r="E2" s="252"/>
      <c r="F2" s="252"/>
      <c r="G2" s="252"/>
      <c r="H2" s="252"/>
      <c r="I2" s="252"/>
      <c r="J2" s="252"/>
      <c r="K2" s="186"/>
    </row>
    <row r="3" spans="2:15" ht="15" customHeight="1" x14ac:dyDescent="0.25">
      <c r="B3" s="185"/>
      <c r="C3" s="133" t="s">
        <v>531</v>
      </c>
      <c r="D3" s="133"/>
      <c r="E3" s="133"/>
      <c r="F3" s="133"/>
      <c r="G3" s="133"/>
      <c r="H3" s="133"/>
      <c r="I3" s="133"/>
      <c r="J3" s="133"/>
      <c r="K3" s="186"/>
    </row>
    <row r="4" spans="2:15" s="78" customFormat="1" ht="15" customHeight="1" x14ac:dyDescent="0.25">
      <c r="B4" s="185"/>
      <c r="C4" s="133"/>
      <c r="D4" s="133"/>
      <c r="E4" s="133"/>
      <c r="F4" s="133"/>
      <c r="G4" s="133"/>
      <c r="H4" s="133"/>
      <c r="I4" s="133"/>
      <c r="J4" s="133"/>
      <c r="K4" s="186"/>
    </row>
    <row r="5" spans="2:15" x14ac:dyDescent="0.25">
      <c r="B5" s="185"/>
      <c r="C5" s="31" t="s">
        <v>56</v>
      </c>
      <c r="D5" s="73"/>
      <c r="E5" s="73"/>
      <c r="F5" s="73"/>
      <c r="G5" s="73"/>
      <c r="H5" s="73"/>
      <c r="I5" s="7"/>
      <c r="J5" s="7"/>
      <c r="K5" s="186"/>
    </row>
    <row r="6" spans="2:15" x14ac:dyDescent="0.25">
      <c r="B6" s="185"/>
      <c r="C6" s="32" t="s">
        <v>477</v>
      </c>
      <c r="D6" s="73"/>
      <c r="E6" s="73"/>
      <c r="F6" s="73"/>
      <c r="G6" s="73"/>
      <c r="H6" s="73"/>
      <c r="I6" s="7"/>
      <c r="J6" s="7"/>
      <c r="K6" s="186"/>
    </row>
    <row r="7" spans="2:15" x14ac:dyDescent="0.25">
      <c r="B7" s="185"/>
      <c r="C7" s="32" t="s">
        <v>478</v>
      </c>
      <c r="D7" s="73"/>
      <c r="E7" s="73"/>
      <c r="F7" s="73"/>
      <c r="G7" s="73"/>
      <c r="H7" s="73"/>
      <c r="I7" s="7"/>
      <c r="J7" s="7"/>
      <c r="K7" s="186"/>
    </row>
    <row r="8" spans="2:15" ht="15.75" thickBot="1" x14ac:dyDescent="0.3">
      <c r="B8" s="185"/>
      <c r="C8" s="7"/>
      <c r="D8" s="7"/>
      <c r="E8" s="7"/>
      <c r="F8" s="7"/>
      <c r="G8" s="7"/>
      <c r="H8" s="7"/>
      <c r="I8" s="7"/>
      <c r="J8" s="7"/>
      <c r="K8" s="186"/>
      <c r="M8" t="s">
        <v>466</v>
      </c>
    </row>
    <row r="9" spans="2:15" ht="30.75" thickBot="1" x14ac:dyDescent="0.3">
      <c r="B9" s="185"/>
      <c r="C9" s="158" t="s">
        <v>449</v>
      </c>
      <c r="D9" s="159"/>
      <c r="E9" s="7"/>
      <c r="F9" s="160" t="s">
        <v>354</v>
      </c>
      <c r="G9" s="159"/>
      <c r="H9" s="7"/>
      <c r="I9" s="160" t="s">
        <v>336</v>
      </c>
      <c r="J9" s="159"/>
      <c r="K9" s="186"/>
      <c r="M9">
        <f>IF(AND(J9="ECM",OR(G9="02SQ",G9="07SQ")),1,0)</f>
        <v>0</v>
      </c>
      <c r="O9" s="78"/>
    </row>
    <row r="10" spans="2:15" ht="15.75" thickBot="1" x14ac:dyDescent="0.3">
      <c r="B10" s="185"/>
      <c r="C10" s="7"/>
      <c r="D10" s="7"/>
      <c r="E10" s="7"/>
      <c r="F10" s="7"/>
      <c r="G10" s="7"/>
      <c r="H10" s="7"/>
      <c r="I10" s="7"/>
      <c r="J10" s="7"/>
      <c r="K10" s="186"/>
    </row>
    <row r="11" spans="2:15" ht="15" customHeight="1" x14ac:dyDescent="0.25">
      <c r="B11" s="185"/>
      <c r="C11" s="161" t="s">
        <v>486</v>
      </c>
      <c r="D11" s="161"/>
      <c r="E11" s="161"/>
      <c r="F11" s="162" t="str">
        <f>IF(M9=1,"N/A",IF(AND(D9='FP Background Data'!B20,'Fan Powered Quick Select'!J9='FP Background Data'!B33),VLOOKUP('Fan Powered Quick Select'!G9,'FP Background Data'!B6:D11,3),IF(AND(D9='FP Background Data'!B20,'Fan Powered Quick Select'!J9='FP Background Data'!B34),VLOOKUP('Fan Powered Quick Select'!G9,'FP Background Data'!B12:D15,3),IF(AND(D9='FP Background Data'!B21,'Fan Powered Quick Select'!J9='FP Background Data'!B33),VLOOKUP('Fan Powered Quick Select'!G9,'FP Background Data'!B6:E11,4),IF(AND(D9='FP Background Data'!B21,'Fan Powered Quick Select'!J9='FP Background Data'!B34),VLOOKUP('Fan Powered Quick Select'!G9,'FP Background Data'!B12:E15,4),"------")))))</f>
        <v>------</v>
      </c>
      <c r="G11" s="7"/>
      <c r="H11" s="161" t="s">
        <v>481</v>
      </c>
      <c r="I11" s="161"/>
      <c r="J11" s="164" t="str">
        <f>IF(M9=1,"N/A",IF(D9='FP Background Data'!B20,VLOOKUP(G9,'FP Background Data'!B6:G11,5),IF(D9='FP Background Data'!B21,VLOOKUP(G9,'FP Background Data'!B6:G11,6),"------")))</f>
        <v>------</v>
      </c>
      <c r="K11" s="186"/>
      <c r="M11" s="111" t="s">
        <v>426</v>
      </c>
    </row>
    <row r="12" spans="2:15" s="78" customFormat="1" ht="15.75" thickBot="1" x14ac:dyDescent="0.3">
      <c r="B12" s="185"/>
      <c r="C12" s="161"/>
      <c r="D12" s="161"/>
      <c r="E12" s="161"/>
      <c r="F12" s="163"/>
      <c r="G12" s="7"/>
      <c r="H12" s="161"/>
      <c r="I12" s="161"/>
      <c r="J12" s="165"/>
      <c r="K12" s="186"/>
      <c r="M12" s="119" t="s">
        <v>427</v>
      </c>
    </row>
    <row r="13" spans="2:15" s="104" customFormat="1" x14ac:dyDescent="0.25">
      <c r="B13" s="187"/>
      <c r="C13" s="188"/>
      <c r="D13" s="188"/>
      <c r="E13" s="188"/>
      <c r="F13" s="189"/>
      <c r="G13" s="112"/>
      <c r="H13" s="190"/>
      <c r="I13" s="190"/>
      <c r="J13" s="190"/>
      <c r="K13" s="191"/>
      <c r="M13" s="7" t="s">
        <v>258</v>
      </c>
    </row>
    <row r="14" spans="2:15" s="78" customFormat="1" ht="17.25" thickBot="1" x14ac:dyDescent="0.4">
      <c r="B14" s="185"/>
      <c r="C14" s="161" t="s">
        <v>500</v>
      </c>
      <c r="D14" s="161"/>
      <c r="E14" s="33"/>
      <c r="F14" s="33"/>
      <c r="G14" s="33"/>
      <c r="H14" s="33"/>
      <c r="I14" s="33"/>
      <c r="J14" s="33"/>
      <c r="K14" s="186"/>
      <c r="M14" s="112" t="s">
        <v>259</v>
      </c>
    </row>
    <row r="15" spans="2:15" s="78" customFormat="1" x14ac:dyDescent="0.25">
      <c r="B15" s="185"/>
      <c r="C15" s="166"/>
      <c r="D15" s="167"/>
      <c r="E15" s="168" t="s">
        <v>480</v>
      </c>
      <c r="F15" s="168"/>
      <c r="G15" s="168"/>
      <c r="H15" s="169" t="s">
        <v>467</v>
      </c>
      <c r="I15" s="169"/>
      <c r="J15" s="170"/>
      <c r="K15" s="186"/>
    </row>
    <row r="16" spans="2:15" s="78" customFormat="1" x14ac:dyDescent="0.25">
      <c r="B16" s="185"/>
      <c r="C16" s="171" t="s">
        <v>468</v>
      </c>
      <c r="D16" s="26"/>
      <c r="E16" s="172" t="s">
        <v>448</v>
      </c>
      <c r="F16" s="172" t="s">
        <v>447</v>
      </c>
      <c r="G16" s="172" t="s">
        <v>457</v>
      </c>
      <c r="H16" s="172" t="s">
        <v>448</v>
      </c>
      <c r="I16" s="172" t="s">
        <v>447</v>
      </c>
      <c r="J16" s="173" t="s">
        <v>457</v>
      </c>
      <c r="K16" s="186"/>
    </row>
    <row r="17" spans="2:16" x14ac:dyDescent="0.25">
      <c r="B17" s="185"/>
      <c r="C17" s="171"/>
      <c r="D17" s="26"/>
      <c r="E17" s="172"/>
      <c r="F17" s="172"/>
      <c r="G17" s="172"/>
      <c r="H17" s="172"/>
      <c r="I17" s="172"/>
      <c r="J17" s="173"/>
      <c r="K17" s="186"/>
      <c r="M17" s="7"/>
    </row>
    <row r="18" spans="2:16" x14ac:dyDescent="0.25">
      <c r="B18" s="185"/>
      <c r="C18" s="180" t="s">
        <v>454</v>
      </c>
      <c r="D18" s="181"/>
      <c r="E18" s="182" t="str">
        <f>IF(M9=1,"N/A",IF(AND(D9=M13,J9=M28),VLOOKUP(G9,'FP Acoustics'!B3:P8,10),IF(AND(D9=M13,J9=M29),VLOOKUP(G9,'FP Acoustics'!B9:P12,10),IF(AND(D9=M14,J9=M28),VLOOKUP(G9,'FP Acoustics'!T3:AF8,8),IF(AND(D9=M14,J9=M29),VLOOKUP(G9,'FP Acoustics'!T9:AF12,8),"------")))))</f>
        <v>------</v>
      </c>
      <c r="F18" s="182" t="str">
        <f>IF(M9=1,"N/A",IF(AND(D9=M13,J9=M28),VLOOKUP(G9,'FP Acoustics'!B13:P18,10),IF(AND(D9=M13,J9=M29),VLOOKUP(G9,'FP Acoustics'!B19:P22,10),IF(AND(D9=M14,J9=M28),VLOOKUP(G9,'FP Acoustics'!T13:AF18,8),IF(AND(D9=M14,J9=M29),VLOOKUP(G9,'FP Acoustics'!T19:AF22,8),"------")))))</f>
        <v>------</v>
      </c>
      <c r="G18" s="182" t="str">
        <f>IF(M9=1,"N/A",IF(AND(D9=M13,J9=M28),VLOOKUP(G9,'FP Acoustics'!B23:P28,10),IF(AND(D9=M13,J9=M29),VLOOKUP(G9,'FP Acoustics'!B29:P32,10),IF(AND(D9=M14,J9=M28),VLOOKUP(G9,'FP Acoustics'!T23:AF28,8),IF(AND(D9=M14,J9=M29),VLOOKUP(G9,'FP Acoustics'!T29:AF32,8),"------")))))</f>
        <v>------</v>
      </c>
      <c r="H18" s="182" t="str">
        <f>IF(M9=1,"N/A",IF(AND(D9=M13,J9=M28),VLOOKUP(G9,'FP Acoustics'!B3:P8,14),IF(AND(D9=M13,J9=M29),VLOOKUP(G9,'FP Acoustics'!B9:P12,14),IF(AND(D9=M14,J9=M28),VLOOKUP(G9,'FP Acoustics'!T3:AF8,11),IF(AND(D9=M14,J9=M29),VLOOKUP(G9,'FP Acoustics'!T9:AF12,11),"------")))))</f>
        <v>------</v>
      </c>
      <c r="I18" s="182" t="str">
        <f>IF(M9=1,"N/A",IF(AND(D9=M13,J9=M28),VLOOKUP(G9,'FP Acoustics'!B13:P18,14),IF(AND(D9=M13,J9=M29),VLOOKUP(G9,'FP Acoustics'!B19:P22,14),IF(AND(D9=M14,J9=M28),VLOOKUP(G9,'FP Acoustics'!T13:AF18,11),IF(AND(D9=M14,J9=M29),VLOOKUP(G9,'FP Acoustics'!T19:AF22,11),"------")))))</f>
        <v>------</v>
      </c>
      <c r="J18" s="183" t="str">
        <f>IF(M9=1,"N/A",IF(AND(D9=M13,J9=M28),VLOOKUP(G9,'FP Acoustics'!B23:P28,14),IF(AND(D9=M13,J9=M29),VLOOKUP(G9,'FP Acoustics'!B29:P32,14),IF(AND(D9=M14,J9=M28),VLOOKUP(G9,'FP Acoustics'!T23:AF28,11),IF(AND(D9=M14,J9=M29),VLOOKUP(G9,'FP Acoustics'!T29:AF32,11),"------")))))</f>
        <v>------</v>
      </c>
      <c r="K18" s="186"/>
      <c r="M18" s="119" t="s">
        <v>354</v>
      </c>
    </row>
    <row r="19" spans="2:16" x14ac:dyDescent="0.25">
      <c r="B19" s="185"/>
      <c r="C19" s="174" t="s">
        <v>455</v>
      </c>
      <c r="D19" s="112"/>
      <c r="E19" s="15" t="str">
        <f>IF(M9=1,"N/A",IF(AND(D9=M13,J9=M28),VLOOKUP(G9,'FP Acoustics'!B3:P8,11),IF(AND(D9=M13,J9=M29),VLOOKUP(G9,'FP Acoustics'!B9:P12,11),IF(AND(D9=M14,J9=M28),VLOOKUP(G9,'FP Acoustics'!T3:AF8,10),IF(AND(D9=M14,J9=M29),VLOOKUP(G9,'FP Acoustics'!T9:AF12,10),"------")))))</f>
        <v>------</v>
      </c>
      <c r="F19" s="15" t="str">
        <f>IF(M9=1,"N/A",IF(AND(D9=M13,J9=M28),VLOOKUP(G9,'FP Acoustics'!B13:P18,11),IF(AND(D9=M13,J9=M29),VLOOKUP(G9,'FP Acoustics'!B19:P22,11),IF(AND(D9=M14,J9=M28),VLOOKUP(G9,'FP Acoustics'!T13:AF18,10),IF(AND(D9=M14,J9=M29),VLOOKUP(G9,'FP Acoustics'!T19:AF22,10),"------")))))</f>
        <v>------</v>
      </c>
      <c r="G19" s="15" t="str">
        <f>IF(M9=1,"N/A",IF(AND(D9=M13,J9=M28),VLOOKUP(G9,'FP Acoustics'!B23:P28,11),IF(AND(D9=M13,J9=M29),VLOOKUP(G9,'FP Acoustics'!B29:P32,11),IF(AND(D9=M14,J9=M28),VLOOKUP(G9,'FP Acoustics'!T23:AF28,10),IF(AND(D9=M14,J9=M29),VLOOKUP(G9,'FP Acoustics'!T29:AF32,10),"------")))))</f>
        <v>------</v>
      </c>
      <c r="H19" s="15" t="str">
        <f>IF(M9=1,"N/A",IF(AND(D9=M13,J9=M28),VLOOKUP(G9,'FP Acoustics'!B3:P8,15),IF(AND(D9=M13,J9=M29),VLOOKUP(G9,'FP Acoustics'!B9:P12,15),IF(AND(D9=M14,J9=M28),VLOOKUP(G9,'FP Acoustics'!T3:AF8,13),IF(AND(D9=M14,J9=M29),VLOOKUP(G9,'FP Acoustics'!T9:AF12,13),"------")))))</f>
        <v>------</v>
      </c>
      <c r="I19" s="15" t="str">
        <f>IF(M9=1,"N/A",IF(AND(D9=M13,J9=M28),VLOOKUP(G9,'FP Acoustics'!B13:P18,15),IF(AND(D9=M13,J9=M29),VLOOKUP(G9,'FP Acoustics'!B19:P22,15),IF(AND(D9=M14,J9=M28),VLOOKUP(G9,'FP Acoustics'!T13:AF18,13),IF(AND(D9=M14,J9=M29),VLOOKUP(G9,'FP Acoustics'!T19:AF22,13),"------")))))</f>
        <v>------</v>
      </c>
      <c r="J19" s="175" t="str">
        <f>IF(M9=1,"N/A",IF(AND(D9=M13,J9=M28),VLOOKUP(G9,'FP Acoustics'!B23:P28,15),IF(AND(D9=M13,J9=M29),VLOOKUP(G9,'FP Acoustics'!B29:P32,15),IF(AND(D9=M14,J9=M28),VLOOKUP(G9,'FP Acoustics'!T23:AF28,13),IF(AND(D9=M14,J9=M29),VLOOKUP(G9,'FP Acoustics'!T29:AF32,13),"------")))))</f>
        <v>------</v>
      </c>
      <c r="K19" s="186"/>
      <c r="M19" s="153" t="s">
        <v>281</v>
      </c>
    </row>
    <row r="20" spans="2:16" x14ac:dyDescent="0.25">
      <c r="B20" s="185"/>
      <c r="C20" s="180" t="str">
        <f>IF(D9=M13,N29,IF(D9=M14,P29,"------"))</f>
        <v>------</v>
      </c>
      <c r="D20" s="181"/>
      <c r="E20" s="182" t="str">
        <f>IF(M9=1,"N/A",IF(AND(D9=M13,J9=M28),VLOOKUP(G9,'FP Acoustics'!B3:P8,8),IF(AND(D9=M13,J9=M29),VLOOKUP(G9,'FP Acoustics'!B9:P12,8),IF(AND(D9=M14,J9=M28),VLOOKUP(G9,'FP Acoustics'!T3:AF8,9),IF(AND(D9=M14,J9=M29),VLOOKUP(G9,'FP Acoustics'!T9:AF12,9),"------")))))</f>
        <v>------</v>
      </c>
      <c r="F20" s="182" t="str">
        <f>IF(M9=1,"N/A",IF(AND(D9=M13,J9=M28),VLOOKUP(G9,'FP Acoustics'!B13:P18,8),IF(AND(D9=M13,J9=M29),VLOOKUP(G9,'FP Acoustics'!B19:P22,8),IF(AND(D9=M14,J9=M28),VLOOKUP(G9,'FP Acoustics'!T13:AF18,9),IF(AND(D9=M14,J9=M29),VLOOKUP(G9,'FP Acoustics'!T19:AF22,9),"------")))))</f>
        <v>------</v>
      </c>
      <c r="G20" s="182" t="str">
        <f>IF(M9=1,"N/A",IF(AND(D9=M13,J9=M28),VLOOKUP(G9,'FP Acoustics'!B23:P28,8),IF(AND(D9=M13,J9=M29),VLOOKUP(G9,'FP Acoustics'!B29:P32,8),IF(AND(D9=M14,J9=M28),VLOOKUP(G9,'FP Acoustics'!T23:AF28,9),IF(AND(D9=M14,J9=M29),VLOOKUP(G9,'FP Acoustics'!T29:AF32,9),"------")))))</f>
        <v>------</v>
      </c>
      <c r="H20" s="182" t="str">
        <f>IF(M9=1,"N/A",IF(AND(D9=M13,J9=M28),VLOOKUP(G9,'FP Acoustics'!B3:P8,12),IF(AND(D9=M13,J9=M29),VLOOKUP(G9,'FP Acoustics'!B9:P12,12),IF(AND(D9=M14,J9=M28),VLOOKUP(G9,'FP Acoustics'!T3:AF8,12),IF(AND(D9=M14,J9=M29),VLOOKUP(G9,'FP Acoustics'!T9:AF12,12),"------")))))</f>
        <v>------</v>
      </c>
      <c r="I20" s="182" t="str">
        <f>IF(M9=1,"N/A",IF(AND(D9=M13,J9=M28),VLOOKUP(G9,'FP Acoustics'!B13:P18,12),IF(AND(D9=M13,J9=M29),VLOOKUP(G9,'FP Acoustics'!B19:P22,12),IF(AND(D9=M14,J9=M28),VLOOKUP(G9,'FP Acoustics'!T13:AF18,12),IF(AND(D9=M14,J9=M29),VLOOKUP(G9,'FP Acoustics'!T19:AF22,12),"------")))))</f>
        <v>------</v>
      </c>
      <c r="J20" s="183" t="str">
        <f>IF(M9=1,"N/A",IF(AND(D9=M13,J9=M28),VLOOKUP(G9,'FP Acoustics'!B23:P28,12),IF(AND(D9=M13,J9=M29),VLOOKUP(G9,'FP Acoustics'!B29:P32,12),IF(AND(D9=M14,J9=M28),VLOOKUP(G9,'FP Acoustics'!T23:AF28,12),IF(AND(D9=M14,J9=M29),VLOOKUP(G9,'FP Acoustics'!T29:AF32,12),"------")))))</f>
        <v>------</v>
      </c>
      <c r="K20" s="186"/>
      <c r="M20" s="153" t="s">
        <v>282</v>
      </c>
    </row>
    <row r="21" spans="2:16" ht="15.75" thickBot="1" x14ac:dyDescent="0.3">
      <c r="B21" s="185"/>
      <c r="C21" s="176" t="str">
        <f>IF(D9=M13,N30,"------")</f>
        <v>------</v>
      </c>
      <c r="D21" s="177"/>
      <c r="E21" s="178" t="str">
        <f>IF(M9=1,"N/A",IF(AND(D9=M13,J9=M28),VLOOKUP(G9,'FP Acoustics'!B3:P8,9),IF(AND(D9=M13,J9=M29),VLOOKUP(G9,'FP Acoustics'!B9:P12,9),"------")))</f>
        <v>------</v>
      </c>
      <c r="F21" s="178" t="str">
        <f>IF(M9=1,"N/A",IF(AND(D9=M13,J9=M28),VLOOKUP(G9,'FP Acoustics'!B13:P18,9),IF(AND(D9=M13,J9=M29),VLOOKUP(G9,'FP Acoustics'!B19:P22,9),"------")))</f>
        <v>------</v>
      </c>
      <c r="G21" s="178" t="str">
        <f>IF(M9=1,"N/A",IF(AND(D9=M13,J9=M28),VLOOKUP(G9,'FP Acoustics'!B23:P28,9),IF(AND(D9=M13,J9=M29),VLOOKUP(G9,'FP Acoustics'!B29:P32,9),"------")))</f>
        <v>------</v>
      </c>
      <c r="H21" s="178" t="str">
        <f>IF(M9=1,"N/A",IF(AND(D9=M13,J9=M28),VLOOKUP(G9,'FP Acoustics'!B3:P8,13),IF(AND(D9=M13,J9=M29),VLOOKUP(G9,'FP Acoustics'!B9:P12,13),"------")))</f>
        <v>------</v>
      </c>
      <c r="I21" s="178" t="str">
        <f>IF(M9=1,"N/A",IF(AND(D9=M13,J9=M28),VLOOKUP(G9,'FP Acoustics'!B13:P18,13),IF(AND(D9=M13,J9=M29),VLOOKUP(G9,'FP Acoustics'!B19:P22,13),"------")))</f>
        <v>------</v>
      </c>
      <c r="J21" s="179" t="str">
        <f>IF(M9=1,"N/A",IF(AND(D9=M13,J9=M28),VLOOKUP(G9,'FP Acoustics'!B23:P28,13),IF(AND(D9=M13,J9=M29),VLOOKUP(G9,'FP Acoustics'!B29:P32,13),"------")))</f>
        <v>------</v>
      </c>
      <c r="K21" s="186"/>
      <c r="M21" s="153" t="s">
        <v>283</v>
      </c>
    </row>
    <row r="22" spans="2:16" x14ac:dyDescent="0.25">
      <c r="B22" s="185"/>
      <c r="C22" s="7"/>
      <c r="D22" s="7"/>
      <c r="E22" s="7"/>
      <c r="F22" s="7"/>
      <c r="G22" s="7"/>
      <c r="H22" s="7"/>
      <c r="I22" s="7"/>
      <c r="J22" s="7"/>
      <c r="K22" s="186"/>
      <c r="M22" s="153" t="s">
        <v>284</v>
      </c>
    </row>
    <row r="23" spans="2:16" ht="15.75" thickBot="1" x14ac:dyDescent="0.3">
      <c r="B23" s="185"/>
      <c r="C23" s="161" t="s">
        <v>469</v>
      </c>
      <c r="D23" s="161"/>
      <c r="E23" s="7"/>
      <c r="F23" s="7"/>
      <c r="G23" s="7"/>
      <c r="H23" s="7"/>
      <c r="I23" s="7"/>
      <c r="J23" s="7"/>
      <c r="K23" s="186"/>
      <c r="M23" s="153" t="s">
        <v>285</v>
      </c>
    </row>
    <row r="24" spans="2:16" x14ac:dyDescent="0.25">
      <c r="B24" s="185"/>
      <c r="C24" s="206" t="s">
        <v>470</v>
      </c>
      <c r="D24" s="207" t="str">
        <f>IF(M9=1,"N/A",IF(D9=M13,"VPCF",IF(D9=M14,"VSCF","------")))</f>
        <v>------</v>
      </c>
      <c r="E24" s="207"/>
      <c r="F24" s="207" t="str">
        <f>IF(M9=1,"N/A",IF(D9=M13,"VPWF",IF(D9=M14,"VSWF","------")))</f>
        <v>------</v>
      </c>
      <c r="G24" s="207"/>
      <c r="H24" s="207" t="str">
        <f>IF(M9=1,"N/A",IF(D9=M13,"VPEF",IF(D9=M14,"VSEF","------")))</f>
        <v>------</v>
      </c>
      <c r="I24" s="207"/>
      <c r="J24" s="208"/>
      <c r="K24" s="186"/>
      <c r="M24" s="153" t="s">
        <v>286</v>
      </c>
    </row>
    <row r="25" spans="2:16" ht="18.75" thickBot="1" x14ac:dyDescent="0.4">
      <c r="B25" s="185"/>
      <c r="C25" s="209" t="s">
        <v>499</v>
      </c>
      <c r="D25" s="210" t="str">
        <f>IF(M9=1,"N/A",IF(D9=M13,VLOOKUP(G9,'FP Background Data'!B6:M11,7),IF(D9=M14,VLOOKUP(G9,'FP Background Data'!B6:M11,10),"------")))</f>
        <v>------</v>
      </c>
      <c r="E25" s="210"/>
      <c r="F25" s="210" t="str">
        <f>IF(M9=1,"N/A",IF(D9=M13,VLOOKUP(G9,'FP Background Data'!B6:M11,8),IF(D9=M14,VLOOKUP(G9,'FP Background Data'!B6:M11,11),"------")))</f>
        <v>------</v>
      </c>
      <c r="G25" s="210"/>
      <c r="H25" s="210" t="str">
        <f>IF(M9=1,"N/A",IF(D9=M13,VLOOKUP(G9,'FP Background Data'!B6:M11,9),IF(D9=M14,VLOOKUP(G9,'FP Background Data'!B6:M11,12),"------")))</f>
        <v>------</v>
      </c>
      <c r="I25" s="210"/>
      <c r="J25" s="211"/>
      <c r="K25" s="186"/>
      <c r="M25" s="78"/>
    </row>
    <row r="26" spans="2:16" ht="15.75" thickBot="1" x14ac:dyDescent="0.3">
      <c r="B26" s="185"/>
      <c r="C26" s="7"/>
      <c r="D26" s="7"/>
      <c r="E26" s="7"/>
      <c r="F26" s="7"/>
      <c r="G26" s="7"/>
      <c r="H26" s="7"/>
      <c r="I26" s="7"/>
      <c r="J26" s="7"/>
      <c r="K26" s="186"/>
    </row>
    <row r="27" spans="2:16" ht="18.75" thickBot="1" x14ac:dyDescent="0.4">
      <c r="B27" s="185"/>
      <c r="C27" s="239" t="s">
        <v>504</v>
      </c>
      <c r="D27" s="239"/>
      <c r="E27" s="184" t="str">
        <f>IF(M9=1,"N/A",IF(AND(D9=M13,J9=M28),VLOOKUP(G9,'FP Background Data'!B6:O11,13),IF(AND(D9=M13,J9=M29),VLOOKUP(G9,'FP Background Data'!B12:O15,13),IF(AND(D9=M14,J9=M28),VLOOKUP(G9,'FP Background Data'!B6:O11,14),IF(AND(D9=M14,J9=M29),VLOOKUP(G9,'FP Background Data'!B12:O15,14),"------")))))</f>
        <v>------</v>
      </c>
      <c r="F27" s="7"/>
      <c r="G27" s="7"/>
      <c r="H27" s="7"/>
      <c r="I27" s="7"/>
      <c r="J27" s="7"/>
      <c r="K27" s="186"/>
      <c r="M27" s="119" t="s">
        <v>336</v>
      </c>
      <c r="N27" s="78" t="s">
        <v>454</v>
      </c>
      <c r="P27" s="78" t="s">
        <v>454</v>
      </c>
    </row>
    <row r="28" spans="2:16" x14ac:dyDescent="0.25">
      <c r="B28" s="185"/>
      <c r="C28" s="7"/>
      <c r="D28" s="7"/>
      <c r="E28" s="7"/>
      <c r="F28" s="7"/>
      <c r="G28" s="7"/>
      <c r="H28" s="7"/>
      <c r="I28" s="7"/>
      <c r="J28" s="7"/>
      <c r="K28" s="186"/>
      <c r="M28" s="152" t="s">
        <v>337</v>
      </c>
      <c r="N28" s="78" t="s">
        <v>455</v>
      </c>
      <c r="P28" s="78" t="s">
        <v>455</v>
      </c>
    </row>
    <row r="29" spans="2:16" ht="15.75" thickBot="1" x14ac:dyDescent="0.3">
      <c r="B29" s="185"/>
      <c r="C29" s="158" t="s">
        <v>471</v>
      </c>
      <c r="D29" s="92"/>
      <c r="E29" s="7"/>
      <c r="F29" s="7"/>
      <c r="G29" s="7"/>
      <c r="H29" s="7"/>
      <c r="I29" s="7"/>
      <c r="J29" s="7"/>
      <c r="K29" s="186"/>
      <c r="M29" s="152" t="s">
        <v>338</v>
      </c>
      <c r="N29" s="78" t="s">
        <v>452</v>
      </c>
      <c r="P29" s="78" t="s">
        <v>456</v>
      </c>
    </row>
    <row r="30" spans="2:16" x14ac:dyDescent="0.25">
      <c r="B30" s="185"/>
      <c r="C30" s="206"/>
      <c r="D30" s="215" t="s">
        <v>43</v>
      </c>
      <c r="E30" s="215" t="s">
        <v>44</v>
      </c>
      <c r="F30" s="212"/>
      <c r="G30" s="212"/>
      <c r="H30" s="212"/>
      <c r="I30" s="212"/>
      <c r="J30" s="208"/>
      <c r="K30" s="186"/>
      <c r="M30" s="78"/>
      <c r="N30" s="78" t="s">
        <v>453</v>
      </c>
    </row>
    <row r="31" spans="2:16" ht="33.75" thickBot="1" x14ac:dyDescent="0.4">
      <c r="B31" s="185"/>
      <c r="C31" s="218" t="s">
        <v>501</v>
      </c>
      <c r="D31" s="111" t="str">
        <f>IF(M9=1,"N/A",IF(AND(D9=M13,J9=M28),VLOOKUP(G9,'FP Background Data'!B6:S11,15),IF(AND(D9=M13,J9=M29),VLOOKUP(G9,'FP Background Data'!B12:S15,15),IF(AND(D9=M14,J9=M28),VLOOKUP(G9,'FP Background Data'!B6:S11,17),IF(AND(D9=M14,J9=M29),VLOOKUP(G9,'FP Background Data'!B12:S15,17),"------")))))</f>
        <v>------</v>
      </c>
      <c r="E31" s="111" t="str">
        <f>IF(M9=1,"N/A",IF(AND(D9=M13,J9=M28),VLOOKUP(G9,'FP Background Data'!B6:S11,16),IF(AND(D9=M13,J9=M29),VLOOKUP(G9,'FP Background Data'!B12:S15,16),IF(AND(D9=M14,J9=M28),VLOOKUP(G9,'FP Background Data'!B6:S11,18),IF(AND(D9=M14,J9=M29),VLOOKUP(G9,'FP Background Data'!B12:S15,18),"------")))))</f>
        <v>------</v>
      </c>
      <c r="F31" s="7"/>
      <c r="G31" s="7"/>
      <c r="H31" s="7"/>
      <c r="I31" s="7"/>
      <c r="J31" s="8"/>
      <c r="K31" s="186"/>
    </row>
    <row r="32" spans="2:16" x14ac:dyDescent="0.25">
      <c r="B32" s="185"/>
      <c r="C32" s="196" t="s">
        <v>474</v>
      </c>
      <c r="D32" s="197"/>
      <c r="E32" s="197"/>
      <c r="F32" s="197"/>
      <c r="G32" s="197"/>
      <c r="H32" s="197"/>
      <c r="I32" s="197"/>
      <c r="J32" s="198"/>
      <c r="K32" s="186"/>
    </row>
    <row r="33" spans="1:11" ht="15" customHeight="1" x14ac:dyDescent="0.25">
      <c r="B33" s="185"/>
      <c r="C33" s="219" t="s">
        <v>73</v>
      </c>
      <c r="D33" s="220" t="s">
        <v>472</v>
      </c>
      <c r="E33" s="220" t="s">
        <v>62</v>
      </c>
      <c r="F33" s="220" t="s">
        <v>473</v>
      </c>
      <c r="G33" s="220" t="s">
        <v>484</v>
      </c>
      <c r="H33" s="220" t="s">
        <v>62</v>
      </c>
      <c r="I33" s="220" t="s">
        <v>473</v>
      </c>
      <c r="J33" s="221" t="s">
        <v>485</v>
      </c>
      <c r="K33" s="186"/>
    </row>
    <row r="34" spans="1:11" x14ac:dyDescent="0.25">
      <c r="B34" s="185"/>
      <c r="C34" s="219"/>
      <c r="D34" s="220"/>
      <c r="E34" s="220"/>
      <c r="F34" s="220"/>
      <c r="G34" s="220"/>
      <c r="H34" s="220"/>
      <c r="I34" s="220"/>
      <c r="J34" s="221"/>
      <c r="K34" s="186"/>
    </row>
    <row r="35" spans="1:11" ht="15.75" thickBot="1" x14ac:dyDescent="0.3">
      <c r="B35" s="185"/>
      <c r="C35" s="216" t="str">
        <f>IF(M9=1,"N/A",IF(AND(D9=M13,J9=M28),VLOOKUP(G9,'FP Background Data'!B6:AY11,19),IF(AND(D9=M13,J9=M29),VLOOKUP(G9,'FP Background Data'!B12:AY15,19),IF(AND(D9=M14,J9=M28),VLOOKUP(G9,'FP Background Data'!B6:AY11,35),IF(AND(D9=M14,J9=M29),VLOOKUP(G9,'FP Background Data'!B12:AY15,35),"------")))))</f>
        <v>------</v>
      </c>
      <c r="D35" s="178" t="str">
        <f>IF(M9=1,"N/A",IF(AND(D9=M13,J9=M28),VLOOKUP(G9,'FP Background Data'!B6:AY11,20),IF(AND(D9=M13,J9=M29),VLOOKUP(G9,'FP Background Data'!B12:AY15,20),IF(AND(D9=M14,J9=M28),VLOOKUP(G9,'FP Background Data'!B6:AY11,36),IF(AND(D9=M14,J9=M29),VLOOKUP(G9,'FP Background Data'!B12:AY15,36),"------")))))</f>
        <v>------</v>
      </c>
      <c r="E35" s="217" t="str">
        <f>IF(M9=1,"N/A",IF(AND(D9=M13,J9=M28),VLOOKUP(G9,'FP Background Data'!B6:AY11,21),IF(AND(D9=M13,J9=M29),VLOOKUP(G9,'FP Background Data'!B12:AY15,21),IF(AND(D9=M14,J9=M28),VLOOKUP(G9,'FP Background Data'!B6:AY11,37),IF(AND(D9=M14,J9=M29),VLOOKUP(G9,'FP Background Data'!B12:AY15,37),"------")))))</f>
        <v>------</v>
      </c>
      <c r="F35" s="178" t="str">
        <f>IF(M9=1,"N/A",IF(AND(D9=M13,J9=M28),VLOOKUP(G9,'FP Background Data'!B6:AY11,22),IF(AND(D9=M13,J9=M29),VLOOKUP(G9,'FP Background Data'!B12:AY15,22),IF(AND(D9=M14,J9=M28),VLOOKUP(G9,'FP Background Data'!B6:AY11,38),IF(AND(D9=M14,J9=M29),VLOOKUP(G9,'FP Background Data'!B12:AY15,38),"------")))))</f>
        <v>------</v>
      </c>
      <c r="G35" s="178" t="str">
        <f>IF(M9=1,"N/A",IF(AND(D9=M13,J9=M28),VLOOKUP(G9,'FP Background Data'!B6:AY11,23),IF(AND(D9=M13,J9=M29),VLOOKUP(G9,'FP Background Data'!B12:AY15,23),IF(AND(D9=M14,J9=M28),VLOOKUP(G9,'FP Background Data'!B6:AY11,39),IF(AND(D9=M14,J9=M29),VLOOKUP(G9,'FP Background Data'!B12:AY15,39),"------")))))</f>
        <v>------</v>
      </c>
      <c r="H35" s="178" t="str">
        <f>IF(M9=1,"N/A",IF(AND(D9=M13,J9=M28),VLOOKUP(G9,'FP Background Data'!B6:AY11,24),IF(AND(D9=M13,J9=M29),VLOOKUP(G9,'FP Background Data'!B12:AY15,24),IF(AND(D9=M14,J9=M28),VLOOKUP(G9,'FP Background Data'!B6:AY11,40),IF(AND(D9=M14,J9=M29),VLOOKUP(G9,'FP Background Data'!B12:AY15,40),"------")))))</f>
        <v>------</v>
      </c>
      <c r="I35" s="178" t="str">
        <f>IF(M9=1,"N/A",IF(AND(D9=M13,J9=M28),VLOOKUP(G9,'FP Background Data'!B6:AY11,25),IF(AND(D9=M13,J9=M29),VLOOKUP(G9,'FP Background Data'!B12:AY15,25),IF(AND(D9=M14,J9=M28),VLOOKUP(G9,'FP Background Data'!B6:AY11,41),IF(AND(D9=M14,J9=M29),VLOOKUP(G9,'FP Background Data'!B12:AY15,41),"------")))))</f>
        <v>------</v>
      </c>
      <c r="J35" s="179" t="str">
        <f>IF(M9=1,"N/A",IF(AND(D9=M13,J9=M28),VLOOKUP(G9,'FP Background Data'!B6:AY11,26),IF(AND(D9=M13,J9=M29),VLOOKUP(G9,'FP Background Data'!B12:AY15,26),IF(AND(D9=M14,J9=M28),VLOOKUP(G9,'FP Background Data'!B6:AY11,42),IF(AND(D9=M14,J9=M29),VLOOKUP(G9,'FP Background Data'!B12:AY15,42),"------")))))</f>
        <v>------</v>
      </c>
      <c r="K35" s="186"/>
    </row>
    <row r="36" spans="1:11" x14ac:dyDescent="0.25">
      <c r="B36" s="185"/>
      <c r="C36" s="213" t="s">
        <v>475</v>
      </c>
      <c r="D36" s="195"/>
      <c r="E36" s="195"/>
      <c r="F36" s="195"/>
      <c r="G36" s="195"/>
      <c r="H36" s="195"/>
      <c r="I36" s="195"/>
      <c r="J36" s="214"/>
      <c r="K36" s="186"/>
    </row>
    <row r="37" spans="1:11" ht="15" customHeight="1" x14ac:dyDescent="0.25">
      <c r="A37" s="7"/>
      <c r="B37" s="185"/>
      <c r="C37" s="219" t="s">
        <v>73</v>
      </c>
      <c r="D37" s="220" t="s">
        <v>472</v>
      </c>
      <c r="E37" s="220" t="s">
        <v>62</v>
      </c>
      <c r="F37" s="220" t="s">
        <v>473</v>
      </c>
      <c r="G37" s="220" t="s">
        <v>484</v>
      </c>
      <c r="H37" s="220" t="s">
        <v>62</v>
      </c>
      <c r="I37" s="220" t="s">
        <v>473</v>
      </c>
      <c r="J37" s="221" t="s">
        <v>485</v>
      </c>
      <c r="K37" s="186"/>
    </row>
    <row r="38" spans="1:11" x14ac:dyDescent="0.25">
      <c r="B38" s="185"/>
      <c r="C38" s="219"/>
      <c r="D38" s="220"/>
      <c r="E38" s="220"/>
      <c r="F38" s="220"/>
      <c r="G38" s="220"/>
      <c r="H38" s="220"/>
      <c r="I38" s="220"/>
      <c r="J38" s="221"/>
      <c r="K38" s="186"/>
    </row>
    <row r="39" spans="1:11" ht="15.75" thickBot="1" x14ac:dyDescent="0.3">
      <c r="B39" s="185"/>
      <c r="C39" s="216" t="str">
        <f>IF(M9=1,"N/A",IF(AND(D9=M13,J9=M28),VLOOKUP(G9,'FP Background Data'!B6:AY11,27),IF(AND(D9=M13,J9=M29),VLOOKUP(G9,'FP Background Data'!B12:AY15,27),IF(AND(D9=M14,J9=M28),VLOOKUP(G9,'FP Background Data'!B6:AY11,43),IF(AND(D9=M14,J9=M29),VLOOKUP(G9,'FP Background Data'!B12:AY15,43),"------")))))</f>
        <v>------</v>
      </c>
      <c r="D39" s="178" t="str">
        <f>IF(M9=1,"N/A",IF(AND(D9=M13,J9=M28),VLOOKUP(G9,'FP Background Data'!B6:AY11,28),IF(AND(D9=M13,J9=M29),VLOOKUP(G9,'FP Background Data'!B12:AY15,28),IF(AND(D9=M14,J9=M28),VLOOKUP(G9,'FP Background Data'!B6:AY11,44),IF(AND(D9=M14,J9=M29),VLOOKUP(G9,'FP Background Data'!B12:AY15,44),"------")))))</f>
        <v>------</v>
      </c>
      <c r="E39" s="178" t="str">
        <f>IF(M9=1,"N/A",IF(AND(D9=M13,J9=M28),VLOOKUP(G9,'FP Background Data'!B6:AY11,29),IF(AND(D9=M13,J9=M29),VLOOKUP(G9,'FP Background Data'!B12:AY15,29),IF(AND(D9=M14,J9=M28),VLOOKUP(G9,'FP Background Data'!B6:AY11,45),IF(AND(D9=M14,J9=M29),VLOOKUP(G9,'FP Background Data'!B12:AY15,45),"------")))))</f>
        <v>------</v>
      </c>
      <c r="F39" s="178" t="str">
        <f>IF(M9=1,"N/A",IF(AND(D9=M13,J9=M28),VLOOKUP(G9,'FP Background Data'!B6:AY11,30),IF(AND(D9=M13,J9=M29),VLOOKUP(G9,'FP Background Data'!B12:AY15,30),IF(AND(D9=M14,J9=M28),VLOOKUP(G9,'FP Background Data'!B6:AY11,46),IF(AND(D9=M14,J9=M29),VLOOKUP(G9,'FP Background Data'!B12:AY15,46),"------")))))</f>
        <v>------</v>
      </c>
      <c r="G39" s="178" t="str">
        <f>IF(M9=1,"N/A",IF(AND(D9=M13,J9=M28),VLOOKUP(G9,'FP Background Data'!B6:AY11,31),IF(AND(D9=M13,J9=M29),VLOOKUP(G9,'FP Background Data'!B12:AY15,31),IF(AND(D9=M14,J9=M28),VLOOKUP(G9,'FP Background Data'!B6:AY11,47),IF(AND(D9=M14,J9=M29),VLOOKUP(G9,'FP Background Data'!B12:AY15,47),"------")))))</f>
        <v>------</v>
      </c>
      <c r="H39" s="178" t="str">
        <f>IF(M9=1,"N/A",IF(AND(D9=M13,J9=M28),VLOOKUP(G9,'FP Background Data'!B6:AY11,32),IF(AND(D9=M13,J9=M29),VLOOKUP(G9,'FP Background Data'!B12:AY15,32),IF(AND(D9=M14,J9=M28),VLOOKUP(G9,'FP Background Data'!B6:AY11,48),IF(AND(D9=M14,J9=M29),VLOOKUP(G9,'FP Background Data'!B12:AY15,48),"------")))))</f>
        <v>------</v>
      </c>
      <c r="I39" s="178" t="str">
        <f>IF(M9=1,"N/A",IF(AND(D9=M13,J9=M28),VLOOKUP(G9,'FP Background Data'!B6:AY11,33),IF(AND(D9=M13,J9=M29),VLOOKUP(G9,'FP Background Data'!B12:AY15,33),IF(AND(D9=M14,J9=M28),VLOOKUP(G9,'FP Background Data'!B6:AY11,49),IF(AND(D9=M14,J9=M29),VLOOKUP(G9,'FP Background Data'!B12:AY15,49),"------")))))</f>
        <v>------</v>
      </c>
      <c r="J39" s="179" t="str">
        <f>IF(M9=1,"N/A",IF(AND(D9=M13,J9=M28),VLOOKUP(G9,'FP Background Data'!B6:AY11,34),IF(AND(D9=M13,J9=M29),VLOOKUP(G9,'FP Background Data'!B12:AY15,34),IF(AND(D9=M14,J9=M28),VLOOKUP(G9,'FP Background Data'!B6:AY11,50),IF(AND(D9=M14,J9=M29),VLOOKUP(G9,'FP Background Data'!B12:AY15,50),"------")))))</f>
        <v>------</v>
      </c>
      <c r="K39" s="186"/>
    </row>
    <row r="40" spans="1:11" ht="15" customHeight="1" x14ac:dyDescent="0.25">
      <c r="B40" s="185"/>
      <c r="C40" s="137" t="s">
        <v>497</v>
      </c>
      <c r="D40" s="137"/>
      <c r="E40" s="137"/>
      <c r="F40" s="137"/>
      <c r="G40" s="137"/>
      <c r="H40" s="137"/>
      <c r="I40" s="137"/>
      <c r="J40" s="137"/>
      <c r="K40" s="186"/>
    </row>
    <row r="41" spans="1:11" x14ac:dyDescent="0.25">
      <c r="B41" s="185"/>
      <c r="C41" s="135"/>
      <c r="D41" s="135"/>
      <c r="E41" s="135"/>
      <c r="F41" s="135"/>
      <c r="G41" s="135"/>
      <c r="H41" s="135"/>
      <c r="I41" s="135"/>
      <c r="J41" s="135"/>
      <c r="K41" s="186"/>
    </row>
    <row r="42" spans="1:11" x14ac:dyDescent="0.25">
      <c r="B42" s="185"/>
      <c r="C42" s="135"/>
      <c r="D42" s="135"/>
      <c r="E42" s="135"/>
      <c r="F42" s="135"/>
      <c r="G42" s="135"/>
      <c r="H42" s="135"/>
      <c r="I42" s="135"/>
      <c r="J42" s="135"/>
      <c r="K42" s="186"/>
    </row>
    <row r="43" spans="1:11" x14ac:dyDescent="0.25">
      <c r="B43" s="185"/>
      <c r="C43" s="7"/>
      <c r="D43" s="7"/>
      <c r="E43" s="7"/>
      <c r="F43" s="7"/>
      <c r="G43" s="7"/>
      <c r="H43" s="7"/>
      <c r="I43" s="7"/>
      <c r="J43" s="7"/>
      <c r="K43" s="186"/>
    </row>
    <row r="44" spans="1:11" x14ac:dyDescent="0.25">
      <c r="B44" s="185"/>
      <c r="C44" s="31" t="s">
        <v>76</v>
      </c>
      <c r="D44" s="75"/>
      <c r="E44" s="75"/>
      <c r="F44" s="75"/>
      <c r="G44" s="75"/>
      <c r="H44" s="75"/>
      <c r="I44" s="7"/>
      <c r="J44" s="7"/>
      <c r="K44" s="186"/>
    </row>
    <row r="45" spans="1:11" ht="15" customHeight="1" x14ac:dyDescent="0.25">
      <c r="B45" s="185"/>
      <c r="C45" s="135" t="s">
        <v>533</v>
      </c>
      <c r="D45" s="135"/>
      <c r="E45" s="135"/>
      <c r="F45" s="135"/>
      <c r="G45" s="135"/>
      <c r="H45" s="135"/>
      <c r="I45" s="135"/>
      <c r="J45" s="135"/>
      <c r="K45" s="186"/>
    </row>
    <row r="46" spans="1:11" x14ac:dyDescent="0.25">
      <c r="B46" s="185"/>
      <c r="C46" s="135"/>
      <c r="D46" s="135"/>
      <c r="E46" s="135"/>
      <c r="F46" s="135"/>
      <c r="G46" s="135"/>
      <c r="H46" s="135"/>
      <c r="I46" s="135"/>
      <c r="J46" s="135"/>
      <c r="K46" s="186"/>
    </row>
    <row r="47" spans="1:11" s="78" customFormat="1" x14ac:dyDescent="0.25">
      <c r="B47" s="185"/>
      <c r="C47" s="135"/>
      <c r="D47" s="135"/>
      <c r="E47" s="135"/>
      <c r="F47" s="135"/>
      <c r="G47" s="135"/>
      <c r="H47" s="135"/>
      <c r="I47" s="135"/>
      <c r="J47" s="135"/>
      <c r="K47" s="186"/>
    </row>
    <row r="48" spans="1:11" ht="15" customHeight="1" x14ac:dyDescent="0.25">
      <c r="B48" s="185"/>
      <c r="C48" s="136" t="s">
        <v>498</v>
      </c>
      <c r="D48" s="136"/>
      <c r="E48" s="136"/>
      <c r="F48" s="136"/>
      <c r="G48" s="136"/>
      <c r="H48" s="136"/>
      <c r="I48" s="136"/>
      <c r="J48" s="136"/>
      <c r="K48" s="186"/>
    </row>
    <row r="49" spans="2:11" x14ac:dyDescent="0.25">
      <c r="B49" s="185"/>
      <c r="C49" s="136"/>
      <c r="D49" s="136"/>
      <c r="E49" s="136"/>
      <c r="F49" s="136"/>
      <c r="G49" s="136"/>
      <c r="H49" s="136"/>
      <c r="I49" s="136"/>
      <c r="J49" s="136"/>
      <c r="K49" s="186"/>
    </row>
    <row r="50" spans="2:11" x14ac:dyDescent="0.25">
      <c r="B50" s="185"/>
      <c r="C50" s="136"/>
      <c r="D50" s="136"/>
      <c r="E50" s="136"/>
      <c r="F50" s="136"/>
      <c r="G50" s="136"/>
      <c r="H50" s="136"/>
      <c r="I50" s="136"/>
      <c r="J50" s="136"/>
      <c r="K50" s="186"/>
    </row>
    <row r="51" spans="2:11" x14ac:dyDescent="0.25">
      <c r="B51" s="185"/>
      <c r="C51" s="136"/>
      <c r="D51" s="136"/>
      <c r="E51" s="136"/>
      <c r="F51" s="136"/>
      <c r="G51" s="136"/>
      <c r="H51" s="136"/>
      <c r="I51" s="136"/>
      <c r="J51" s="136"/>
      <c r="K51" s="186"/>
    </row>
    <row r="52" spans="2:11" s="78" customFormat="1" x14ac:dyDescent="0.25">
      <c r="B52" s="185"/>
      <c r="C52" s="136"/>
      <c r="D52" s="136"/>
      <c r="E52" s="136"/>
      <c r="F52" s="136"/>
      <c r="G52" s="136"/>
      <c r="H52" s="136"/>
      <c r="I52" s="136"/>
      <c r="J52" s="136"/>
      <c r="K52" s="186"/>
    </row>
    <row r="53" spans="2:11" s="78" customFormat="1" x14ac:dyDescent="0.25">
      <c r="B53" s="185"/>
      <c r="C53" s="7" t="s">
        <v>502</v>
      </c>
      <c r="D53" s="72"/>
      <c r="E53" s="72"/>
      <c r="F53" s="72"/>
      <c r="G53" s="72"/>
      <c r="H53" s="72"/>
      <c r="I53" s="72"/>
      <c r="J53" s="72"/>
      <c r="K53" s="186"/>
    </row>
    <row r="54" spans="2:11" s="78" customFormat="1" x14ac:dyDescent="0.25">
      <c r="B54" s="185"/>
      <c r="C54" s="136" t="s">
        <v>503</v>
      </c>
      <c r="D54" s="136"/>
      <c r="E54" s="136"/>
      <c r="F54" s="136"/>
      <c r="G54" s="136"/>
      <c r="H54" s="136"/>
      <c r="I54" s="136"/>
      <c r="J54" s="136"/>
      <c r="K54" s="186"/>
    </row>
    <row r="55" spans="2:11" ht="15" customHeight="1" x14ac:dyDescent="0.25">
      <c r="B55" s="185"/>
      <c r="C55" s="135" t="s">
        <v>505</v>
      </c>
      <c r="D55" s="135"/>
      <c r="E55" s="135"/>
      <c r="F55" s="135"/>
      <c r="G55" s="135"/>
      <c r="H55" s="135"/>
      <c r="I55" s="135"/>
      <c r="J55" s="135"/>
      <c r="K55" s="186"/>
    </row>
    <row r="56" spans="2:11" x14ac:dyDescent="0.25">
      <c r="B56" s="185"/>
      <c r="C56" s="135"/>
      <c r="D56" s="135"/>
      <c r="E56" s="135"/>
      <c r="F56" s="135"/>
      <c r="G56" s="135"/>
      <c r="H56" s="135"/>
      <c r="I56" s="135"/>
      <c r="J56" s="135"/>
      <c r="K56" s="186"/>
    </row>
    <row r="57" spans="2:11" s="78" customFormat="1" x14ac:dyDescent="0.25">
      <c r="B57" s="185"/>
      <c r="C57" s="135"/>
      <c r="D57" s="135"/>
      <c r="E57" s="135"/>
      <c r="F57" s="135"/>
      <c r="G57" s="135"/>
      <c r="H57" s="135"/>
      <c r="I57" s="135"/>
      <c r="J57" s="135"/>
      <c r="K57" s="186"/>
    </row>
    <row r="58" spans="2:11" s="78" customFormat="1" x14ac:dyDescent="0.25">
      <c r="B58" s="185"/>
      <c r="C58" s="135"/>
      <c r="D58" s="135"/>
      <c r="E58" s="135"/>
      <c r="F58" s="135"/>
      <c r="G58" s="135"/>
      <c r="H58" s="135"/>
      <c r="I58" s="135"/>
      <c r="J58" s="135"/>
      <c r="K58" s="186"/>
    </row>
    <row r="59" spans="2:11" s="78" customFormat="1" x14ac:dyDescent="0.25">
      <c r="B59" s="185"/>
      <c r="C59" s="71"/>
      <c r="D59" s="71"/>
      <c r="E59" s="71"/>
      <c r="F59" s="71"/>
      <c r="G59" s="71"/>
      <c r="H59" s="71"/>
      <c r="I59" s="71"/>
      <c r="J59" s="71"/>
      <c r="K59" s="186"/>
    </row>
    <row r="60" spans="2:11" x14ac:dyDescent="0.25">
      <c r="B60" s="185"/>
      <c r="C60" s="31" t="s">
        <v>67</v>
      </c>
      <c r="D60" s="75"/>
      <c r="E60" s="75"/>
      <c r="F60" s="75"/>
      <c r="G60" s="75"/>
      <c r="H60" s="75"/>
      <c r="I60" s="7"/>
      <c r="J60" s="7"/>
      <c r="K60" s="186"/>
    </row>
    <row r="61" spans="2:11" x14ac:dyDescent="0.25">
      <c r="B61" s="185"/>
      <c r="C61" s="26" t="s">
        <v>69</v>
      </c>
      <c r="D61" s="75"/>
      <c r="E61" s="75"/>
      <c r="F61" s="75"/>
      <c r="G61" s="75"/>
      <c r="H61" s="75"/>
      <c r="I61" s="7"/>
      <c r="J61" s="7"/>
      <c r="K61" s="186"/>
    </row>
    <row r="62" spans="2:11" x14ac:dyDescent="0.25">
      <c r="B62" s="185"/>
      <c r="C62" s="26" t="s">
        <v>25</v>
      </c>
      <c r="D62" s="75"/>
      <c r="E62" s="75"/>
      <c r="F62" s="75"/>
      <c r="G62" s="75"/>
      <c r="H62" s="75"/>
      <c r="I62" s="7"/>
      <c r="J62" s="7"/>
      <c r="K62" s="186"/>
    </row>
    <row r="63" spans="2:11" x14ac:dyDescent="0.25">
      <c r="B63" s="185"/>
      <c r="C63" s="26" t="s">
        <v>68</v>
      </c>
      <c r="D63" s="75"/>
      <c r="E63" s="75"/>
      <c r="F63" s="75"/>
      <c r="G63" s="75"/>
      <c r="H63" s="75"/>
      <c r="I63" s="7"/>
      <c r="J63" s="7"/>
      <c r="K63" s="186"/>
    </row>
    <row r="64" spans="2:11" x14ac:dyDescent="0.25">
      <c r="B64" s="185"/>
      <c r="C64" s="75"/>
      <c r="D64" s="75"/>
      <c r="E64" s="75"/>
      <c r="F64" s="75"/>
      <c r="G64" s="75"/>
      <c r="H64" s="75"/>
      <c r="I64" s="7"/>
      <c r="J64" s="7"/>
      <c r="K64" s="186"/>
    </row>
    <row r="65" spans="2:11" x14ac:dyDescent="0.25">
      <c r="B65" s="185"/>
      <c r="C65" s="41" t="s">
        <v>23</v>
      </c>
      <c r="D65" s="41"/>
      <c r="E65" s="41"/>
      <c r="F65" s="75"/>
      <c r="G65" s="75"/>
      <c r="H65" s="75"/>
      <c r="I65" s="7"/>
      <c r="J65" s="7"/>
      <c r="K65" s="186"/>
    </row>
    <row r="66" spans="2:11" s="78" customFormat="1" x14ac:dyDescent="0.25">
      <c r="B66" s="185"/>
      <c r="C66" s="33" t="s">
        <v>537</v>
      </c>
      <c r="D66" s="41"/>
      <c r="E66" s="41"/>
      <c r="F66" s="75"/>
      <c r="G66" s="75"/>
      <c r="H66" s="75"/>
      <c r="I66" s="7"/>
      <c r="J66" s="7"/>
      <c r="K66" s="186"/>
    </row>
    <row r="67" spans="2:11" s="78" customFormat="1" x14ac:dyDescent="0.25">
      <c r="B67" s="185"/>
      <c r="C67" s="33" t="s">
        <v>538</v>
      </c>
      <c r="D67" s="41"/>
      <c r="E67" s="41"/>
      <c r="F67" s="75"/>
      <c r="G67" s="75"/>
      <c r="H67" s="75"/>
      <c r="I67" s="7"/>
      <c r="J67" s="7"/>
      <c r="K67" s="186"/>
    </row>
    <row r="68" spans="2:11" s="78" customFormat="1" x14ac:dyDescent="0.25">
      <c r="B68" s="185"/>
      <c r="C68" s="33" t="s">
        <v>539</v>
      </c>
      <c r="D68" s="41"/>
      <c r="E68" s="41"/>
      <c r="F68" s="75"/>
      <c r="G68" s="75"/>
      <c r="H68" s="75"/>
      <c r="I68" s="7"/>
      <c r="J68" s="7"/>
      <c r="K68" s="186"/>
    </row>
    <row r="69" spans="2:11" x14ac:dyDescent="0.25">
      <c r="B69" s="185"/>
      <c r="C69" s="33" t="s">
        <v>534</v>
      </c>
      <c r="D69" s="75"/>
      <c r="E69" s="75"/>
      <c r="F69" s="75"/>
      <c r="H69" s="75"/>
      <c r="I69" s="7"/>
      <c r="J69" s="7"/>
      <c r="K69" s="186"/>
    </row>
    <row r="70" spans="2:11" x14ac:dyDescent="0.25">
      <c r="B70" s="185"/>
      <c r="C70" s="33" t="s">
        <v>535</v>
      </c>
      <c r="D70" s="75"/>
      <c r="E70" s="75"/>
      <c r="F70" s="75"/>
      <c r="H70" s="75"/>
      <c r="I70" s="7"/>
      <c r="J70" s="7"/>
      <c r="K70" s="186"/>
    </row>
    <row r="71" spans="2:11" x14ac:dyDescent="0.25">
      <c r="B71" s="185"/>
      <c r="C71" s="33" t="s">
        <v>536</v>
      </c>
      <c r="D71" s="75"/>
      <c r="E71" s="75"/>
      <c r="F71" s="75"/>
      <c r="H71" s="75"/>
      <c r="I71" s="7"/>
      <c r="J71" s="7"/>
      <c r="K71" s="186"/>
    </row>
    <row r="72" spans="2:11" x14ac:dyDescent="0.25">
      <c r="B72" s="185"/>
      <c r="C72" s="33" t="s">
        <v>90</v>
      </c>
      <c r="D72" s="75"/>
      <c r="E72" s="75"/>
      <c r="F72" s="75"/>
      <c r="G72" s="75"/>
      <c r="H72" s="50"/>
      <c r="I72" s="7"/>
      <c r="J72" s="50">
        <v>44152</v>
      </c>
      <c r="K72" s="186"/>
    </row>
    <row r="73" spans="2:11" ht="15.75" thickBot="1" x14ac:dyDescent="0.3">
      <c r="B73" s="192"/>
      <c r="C73" s="120" t="s">
        <v>91</v>
      </c>
      <c r="D73" s="120"/>
      <c r="E73" s="120"/>
      <c r="F73" s="48"/>
      <c r="G73" s="48"/>
      <c r="H73" s="48"/>
      <c r="I73" s="193"/>
      <c r="J73" s="48" t="s">
        <v>506</v>
      </c>
      <c r="K73" s="194"/>
    </row>
    <row r="74" spans="2:11" ht="15.75" thickTop="1" x14ac:dyDescent="0.25"/>
  </sheetData>
  <sheetProtection sheet="1" objects="1" scenarios="1" selectLockedCells="1"/>
  <mergeCells count="48">
    <mergeCell ref="C55:J58"/>
    <mergeCell ref="C45:J47"/>
    <mergeCell ref="C3:J4"/>
    <mergeCell ref="C40:J42"/>
    <mergeCell ref="C73:E73"/>
    <mergeCell ref="C48:J52"/>
    <mergeCell ref="C54:J54"/>
    <mergeCell ref="C2:J2"/>
    <mergeCell ref="C14:D14"/>
    <mergeCell ref="E15:G15"/>
    <mergeCell ref="C23:D23"/>
    <mergeCell ref="C27:D27"/>
    <mergeCell ref="I37:I38"/>
    <mergeCell ref="J37:J38"/>
    <mergeCell ref="C11:E12"/>
    <mergeCell ref="D25:E25"/>
    <mergeCell ref="D24:E24"/>
    <mergeCell ref="F24:G24"/>
    <mergeCell ref="H24:I24"/>
    <mergeCell ref="C37:C38"/>
    <mergeCell ref="D37:D38"/>
    <mergeCell ref="E37:E38"/>
    <mergeCell ref="F37:F38"/>
    <mergeCell ref="G37:G38"/>
    <mergeCell ref="H37:H38"/>
    <mergeCell ref="I33:I34"/>
    <mergeCell ref="J33:J34"/>
    <mergeCell ref="C32:J32"/>
    <mergeCell ref="C36:J36"/>
    <mergeCell ref="G33:G34"/>
    <mergeCell ref="D33:D34"/>
    <mergeCell ref="E33:E34"/>
    <mergeCell ref="H33:H34"/>
    <mergeCell ref="F25:G25"/>
    <mergeCell ref="H25:I25"/>
    <mergeCell ref="C33:C34"/>
    <mergeCell ref="F33:F34"/>
    <mergeCell ref="H11:I12"/>
    <mergeCell ref="H16:H17"/>
    <mergeCell ref="I16:I17"/>
    <mergeCell ref="J16:J17"/>
    <mergeCell ref="H15:J15"/>
    <mergeCell ref="C16:C17"/>
    <mergeCell ref="J11:J12"/>
    <mergeCell ref="E16:E17"/>
    <mergeCell ref="F16:F17"/>
    <mergeCell ref="G16:G17"/>
    <mergeCell ref="F11:F1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92EB416-50FD-4E60-8084-4E5269893DA0}">
          <x14:formula1>
            <xm:f>'FP Background Data'!$B$20:$B$21</xm:f>
          </x14:formula1>
          <xm:sqref>D9</xm:sqref>
        </x14:dataValidation>
        <x14:dataValidation type="list" allowBlank="1" showInputMessage="1" showErrorMessage="1" xr:uid="{3122798B-87EA-446F-B9C8-C06A656E07D9}">
          <x14:formula1>
            <xm:f>'FP Background Data'!$B$33:$B$34</xm:f>
          </x14:formula1>
          <xm:sqref>J9</xm:sqref>
        </x14:dataValidation>
        <x14:dataValidation type="list" allowBlank="1" showInputMessage="1" showErrorMessage="1" xr:uid="{549ABE7A-565B-49BA-8E57-EE62EB773E32}">
          <x14:formula1>
            <xm:f>'FP Background Data'!$B$24:$B$29</xm:f>
          </x14:formula1>
          <xm:sqref>G9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7DDEB-E0EE-429C-B2D7-0498C7686274}">
  <dimension ref="B1:AY43"/>
  <sheetViews>
    <sheetView workbookViewId="0">
      <selection activeCell="H21" sqref="H21"/>
    </sheetView>
  </sheetViews>
  <sheetFormatPr defaultRowHeight="15" x14ac:dyDescent="0.25"/>
  <cols>
    <col min="3" max="3" width="9.140625" style="78"/>
    <col min="4" max="4" width="14.5703125" customWidth="1"/>
    <col min="5" max="5" width="15.140625" customWidth="1"/>
    <col min="6" max="7" width="15.140625" style="78" customWidth="1"/>
    <col min="8" max="8" width="15.7109375" customWidth="1"/>
    <col min="9" max="10" width="13.85546875" bestFit="1" customWidth="1"/>
    <col min="11" max="11" width="12.140625" bestFit="1" customWidth="1"/>
    <col min="12" max="12" width="14.85546875" bestFit="1" customWidth="1"/>
    <col min="13" max="13" width="13.85546875" bestFit="1" customWidth="1"/>
    <col min="20" max="20" width="6.85546875" bestFit="1" customWidth="1"/>
    <col min="21" max="26" width="11" customWidth="1"/>
    <col min="28" max="28" width="5.28515625" bestFit="1" customWidth="1"/>
    <col min="29" max="29" width="9.85546875" bestFit="1" customWidth="1"/>
    <col min="30" max="30" width="5" bestFit="1" customWidth="1"/>
    <col min="31" max="31" width="10.85546875" bestFit="1" customWidth="1"/>
    <col min="32" max="32" width="6" bestFit="1" customWidth="1"/>
    <col min="33" max="33" width="5.28515625" bestFit="1" customWidth="1"/>
    <col min="34" max="34" width="10.85546875" bestFit="1" customWidth="1"/>
    <col min="35" max="35" width="6" bestFit="1" customWidth="1"/>
    <col min="36" max="36" width="5.28515625" bestFit="1" customWidth="1"/>
    <col min="37" max="37" width="9.85546875" bestFit="1" customWidth="1"/>
    <col min="38" max="38" width="5" bestFit="1" customWidth="1"/>
    <col min="39" max="39" width="10.85546875" bestFit="1" customWidth="1"/>
    <col min="40" max="40" width="4.7109375" bestFit="1" customWidth="1"/>
    <col min="41" max="41" width="5.28515625" bestFit="1" customWidth="1"/>
    <col min="42" max="42" width="10.85546875" bestFit="1" customWidth="1"/>
    <col min="43" max="43" width="4.7109375" bestFit="1" customWidth="1"/>
    <col min="44" max="44" width="5.28515625" bestFit="1" customWidth="1"/>
    <col min="45" max="45" width="9.85546875" bestFit="1" customWidth="1"/>
    <col min="46" max="46" width="5" bestFit="1" customWidth="1"/>
    <col min="47" max="47" width="11.85546875" bestFit="1" customWidth="1"/>
    <col min="48" max="48" width="5" bestFit="1" customWidth="1"/>
    <col min="49" max="49" width="5.28515625" bestFit="1" customWidth="1"/>
    <col min="50" max="50" width="11.85546875" bestFit="1" customWidth="1"/>
    <col min="51" max="51" width="4.7109375" bestFit="1" customWidth="1"/>
  </cols>
  <sheetData>
    <row r="1" spans="2:51" x14ac:dyDescent="0.25">
      <c r="B1" s="78"/>
      <c r="D1" s="78"/>
      <c r="E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138" t="s">
        <v>257</v>
      </c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</row>
    <row r="2" spans="2:51" x14ac:dyDescent="0.25">
      <c r="B2" s="86"/>
      <c r="C2" s="86"/>
      <c r="D2" s="154" t="s">
        <v>258</v>
      </c>
      <c r="E2" s="154" t="s">
        <v>259</v>
      </c>
      <c r="F2" s="154" t="s">
        <v>258</v>
      </c>
      <c r="G2" s="154" t="s">
        <v>259</v>
      </c>
      <c r="H2" s="139" t="s">
        <v>288</v>
      </c>
      <c r="I2" s="139"/>
      <c r="J2" s="139"/>
      <c r="K2" s="139"/>
      <c r="L2" s="139"/>
      <c r="M2" s="139"/>
      <c r="N2" s="139" t="s">
        <v>260</v>
      </c>
      <c r="O2" s="139"/>
      <c r="P2" s="139" t="s">
        <v>323</v>
      </c>
      <c r="Q2" s="139"/>
      <c r="R2" s="139"/>
      <c r="S2" s="139"/>
      <c r="T2" s="139" t="s">
        <v>258</v>
      </c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  <c r="AI2" s="139"/>
      <c r="AJ2" s="139" t="s">
        <v>259</v>
      </c>
      <c r="AK2" s="139"/>
      <c r="AL2" s="139"/>
      <c r="AM2" s="139"/>
      <c r="AN2" s="139"/>
      <c r="AO2" s="139"/>
      <c r="AP2" s="139"/>
      <c r="AQ2" s="139"/>
      <c r="AR2" s="139"/>
      <c r="AS2" s="139"/>
      <c r="AT2" s="139"/>
      <c r="AU2" s="139"/>
      <c r="AV2" s="139"/>
      <c r="AW2" s="139"/>
      <c r="AX2" s="139"/>
      <c r="AY2" s="139"/>
    </row>
    <row r="3" spans="2:51" ht="15" customHeight="1" x14ac:dyDescent="0.25">
      <c r="B3" s="86"/>
      <c r="C3" s="86"/>
      <c r="D3" s="140" t="s">
        <v>425</v>
      </c>
      <c r="E3" s="140" t="s">
        <v>425</v>
      </c>
      <c r="F3" s="155" t="s">
        <v>458</v>
      </c>
      <c r="G3" s="155" t="s">
        <v>458</v>
      </c>
      <c r="H3" s="139" t="s">
        <v>258</v>
      </c>
      <c r="I3" s="139"/>
      <c r="J3" s="139"/>
      <c r="K3" s="139" t="s">
        <v>259</v>
      </c>
      <c r="L3" s="139"/>
      <c r="M3" s="139"/>
      <c r="N3" s="139" t="s">
        <v>261</v>
      </c>
      <c r="O3" s="139"/>
      <c r="P3" s="139" t="s">
        <v>258</v>
      </c>
      <c r="Q3" s="139"/>
      <c r="R3" s="139" t="s">
        <v>259</v>
      </c>
      <c r="S3" s="139"/>
      <c r="T3" s="139" t="s">
        <v>262</v>
      </c>
      <c r="U3" s="139"/>
      <c r="V3" s="139"/>
      <c r="W3" s="139"/>
      <c r="X3" s="139"/>
      <c r="Y3" s="139"/>
      <c r="Z3" s="139"/>
      <c r="AA3" s="139"/>
      <c r="AB3" s="139" t="s">
        <v>263</v>
      </c>
      <c r="AC3" s="139"/>
      <c r="AD3" s="139"/>
      <c r="AE3" s="139"/>
      <c r="AF3" s="139"/>
      <c r="AG3" s="139"/>
      <c r="AH3" s="139"/>
      <c r="AI3" s="139"/>
      <c r="AJ3" s="139" t="s">
        <v>262</v>
      </c>
      <c r="AK3" s="139"/>
      <c r="AL3" s="139"/>
      <c r="AM3" s="139"/>
      <c r="AN3" s="139"/>
      <c r="AO3" s="139"/>
      <c r="AP3" s="139"/>
      <c r="AQ3" s="139"/>
      <c r="AR3" s="139" t="s">
        <v>263</v>
      </c>
      <c r="AS3" s="139"/>
      <c r="AT3" s="139"/>
      <c r="AU3" s="139"/>
      <c r="AV3" s="139"/>
      <c r="AW3" s="139"/>
      <c r="AX3" s="139"/>
      <c r="AY3" s="139"/>
    </row>
    <row r="4" spans="2:51" s="78" customFormat="1" ht="15" customHeight="1" x14ac:dyDescent="0.25">
      <c r="B4" s="86"/>
      <c r="C4" s="86"/>
      <c r="D4" s="140"/>
      <c r="E4" s="140"/>
      <c r="F4" s="156"/>
      <c r="G4" s="156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</row>
    <row r="5" spans="2:51" ht="48" customHeight="1" x14ac:dyDescent="0.25">
      <c r="B5" s="82" t="s">
        <v>264</v>
      </c>
      <c r="C5" s="102" t="s">
        <v>336</v>
      </c>
      <c r="D5" s="140"/>
      <c r="E5" s="140"/>
      <c r="F5" s="157"/>
      <c r="G5" s="157"/>
      <c r="H5" s="80" t="s">
        <v>265</v>
      </c>
      <c r="I5" s="80" t="s">
        <v>266</v>
      </c>
      <c r="J5" s="80" t="s">
        <v>267</v>
      </c>
      <c r="K5" s="80" t="s">
        <v>301</v>
      </c>
      <c r="L5" s="80" t="s">
        <v>302</v>
      </c>
      <c r="M5" s="80" t="s">
        <v>303</v>
      </c>
      <c r="N5" s="102" t="s">
        <v>258</v>
      </c>
      <c r="O5" s="102" t="s">
        <v>259</v>
      </c>
      <c r="P5" s="82" t="s">
        <v>268</v>
      </c>
      <c r="Q5" s="82" t="s">
        <v>269</v>
      </c>
      <c r="R5" s="82" t="s">
        <v>268</v>
      </c>
      <c r="S5" s="82" t="s">
        <v>269</v>
      </c>
      <c r="T5" s="80" t="s">
        <v>22</v>
      </c>
      <c r="U5" s="84" t="s">
        <v>270</v>
      </c>
      <c r="V5" s="84" t="s">
        <v>18</v>
      </c>
      <c r="W5" s="84" t="s">
        <v>21</v>
      </c>
      <c r="X5" s="80" t="s">
        <v>20</v>
      </c>
      <c r="Y5" s="80" t="s">
        <v>271</v>
      </c>
      <c r="Z5" s="80" t="s">
        <v>21</v>
      </c>
      <c r="AA5" s="80" t="s">
        <v>20</v>
      </c>
      <c r="AB5" s="80" t="s">
        <v>22</v>
      </c>
      <c r="AC5" s="81" t="s">
        <v>270</v>
      </c>
      <c r="AD5" s="81" t="s">
        <v>18</v>
      </c>
      <c r="AE5" s="81" t="s">
        <v>21</v>
      </c>
      <c r="AF5" s="80" t="s">
        <v>20</v>
      </c>
      <c r="AG5" s="80" t="s">
        <v>271</v>
      </c>
      <c r="AH5" s="80" t="s">
        <v>21</v>
      </c>
      <c r="AI5" s="80" t="s">
        <v>20</v>
      </c>
      <c r="AJ5" s="80" t="s">
        <v>22</v>
      </c>
      <c r="AK5" s="81" t="s">
        <v>270</v>
      </c>
      <c r="AL5" s="81" t="s">
        <v>18</v>
      </c>
      <c r="AM5" s="81" t="s">
        <v>21</v>
      </c>
      <c r="AN5" s="80" t="s">
        <v>20</v>
      </c>
      <c r="AO5" s="80" t="s">
        <v>271</v>
      </c>
      <c r="AP5" s="80" t="s">
        <v>21</v>
      </c>
      <c r="AQ5" s="80" t="s">
        <v>20</v>
      </c>
      <c r="AR5" s="80" t="s">
        <v>22</v>
      </c>
      <c r="AS5" s="81" t="s">
        <v>270</v>
      </c>
      <c r="AT5" s="81" t="s">
        <v>18</v>
      </c>
      <c r="AU5" s="81" t="s">
        <v>21</v>
      </c>
      <c r="AV5" s="80" t="s">
        <v>20</v>
      </c>
      <c r="AW5" s="80" t="s">
        <v>271</v>
      </c>
      <c r="AX5" s="80" t="s">
        <v>21</v>
      </c>
      <c r="AY5" s="80" t="s">
        <v>20</v>
      </c>
    </row>
    <row r="6" spans="2:51" x14ac:dyDescent="0.25">
      <c r="B6" s="82" t="s">
        <v>281</v>
      </c>
      <c r="C6" s="82" t="s">
        <v>337</v>
      </c>
      <c r="D6" s="83" t="s">
        <v>428</v>
      </c>
      <c r="E6" s="83" t="s">
        <v>438</v>
      </c>
      <c r="F6" s="83" t="s">
        <v>459</v>
      </c>
      <c r="G6" s="83" t="s">
        <v>464</v>
      </c>
      <c r="H6" s="83" t="s">
        <v>289</v>
      </c>
      <c r="I6" s="83" t="s">
        <v>293</v>
      </c>
      <c r="J6" s="83" t="s">
        <v>298</v>
      </c>
      <c r="K6" s="83" t="s">
        <v>305</v>
      </c>
      <c r="L6" s="83" t="s">
        <v>310</v>
      </c>
      <c r="M6" s="83" t="s">
        <v>316</v>
      </c>
      <c r="N6" s="83" t="s">
        <v>279</v>
      </c>
      <c r="O6" s="83" t="s">
        <v>280</v>
      </c>
      <c r="P6" s="83">
        <v>445</v>
      </c>
      <c r="Q6" s="83">
        <v>425</v>
      </c>
      <c r="R6" s="83">
        <v>645</v>
      </c>
      <c r="S6" s="83">
        <v>600</v>
      </c>
      <c r="T6" s="83" t="str">
        <f>CONCATENATE('VPWF Data'!I3,'VPWF Data'!Q3,'VPWF Data'!J3)</f>
        <v>0.5-5</v>
      </c>
      <c r="U6" s="83" t="str">
        <f>CONCATENATE('VPWF Data'!K3,'VPWF Data'!Q3,'VPWF Data'!L3)</f>
        <v>0.21-13.02</v>
      </c>
      <c r="V6" s="93">
        <f>'VPWF Data'!E3</f>
        <v>333.75</v>
      </c>
      <c r="W6" s="99" t="str">
        <f>CONCATENATE('VPWF Data'!M3,'VPWF Data'!Q3,'VPWF Data'!N3)</f>
        <v>13.09-20.43</v>
      </c>
      <c r="X6" s="83">
        <f>'VPWF Data'!G3</f>
        <v>1.2000000000000011E-2</v>
      </c>
      <c r="Y6" s="93">
        <f>'VPWF Data'!F3</f>
        <v>445</v>
      </c>
      <c r="Z6" s="83" t="str">
        <f>CONCATENATE('VPWF Data'!O3,'VPWF Data'!Q3,'VPWF Data'!P3)</f>
        <v>14.23-23.58</v>
      </c>
      <c r="AA6" s="83">
        <f>'VPWF Data'!H3</f>
        <v>1.9000000000000017E-2</v>
      </c>
      <c r="AB6" s="83" t="str">
        <f>CONCATENATE('VPWF Data'!I12,'VPWF Data'!Q12,'VPWF Data'!J12)</f>
        <v>1-1</v>
      </c>
      <c r="AC6" s="83" t="str">
        <f>CONCATENATE('VPWF Data'!K12,'VPWF Data'!Q12,'VPWF Data'!L12)</f>
        <v>1.21-1.21</v>
      </c>
      <c r="AD6" s="93">
        <f>'VPWF Data'!E12</f>
        <v>318.75</v>
      </c>
      <c r="AE6" s="83" t="str">
        <f>CONCATENATE('VPWF Data'!M12,'VPWF Data'!Q12,'VPWF Data'!N12)</f>
        <v>23.1-23.1</v>
      </c>
      <c r="AF6" s="98">
        <f>'VPWF Data'!G12</f>
        <v>2.300000000000002E-2</v>
      </c>
      <c r="AG6" s="93">
        <f>'VPWF Data'!F12</f>
        <v>425</v>
      </c>
      <c r="AH6" s="83" t="str">
        <f>CONCATENATE('VPWF Data'!O12,'VPWF Data'!Q12,'VPWF Data'!P12)</f>
        <v>26.87-26.87</v>
      </c>
      <c r="AI6" s="98">
        <f>'VPWF Data'!H12</f>
        <v>3.6999999999999977E-2</v>
      </c>
      <c r="AJ6" s="83" t="str">
        <f>CONCATENATE('VSWF Data'!I3,'VSWF Data'!Q3,'VSWF Data'!J3)</f>
        <v>0.5-5</v>
      </c>
      <c r="AK6" s="83" t="str">
        <f>CONCATENATE('VSWF Data'!K3,'VSWF Data'!Q3,'VSWF Data'!L3)</f>
        <v>0.15-9.01</v>
      </c>
      <c r="AL6" s="93">
        <f>'VSWF Data'!E3</f>
        <v>483.75</v>
      </c>
      <c r="AM6" s="83" t="str">
        <f>CONCATENATE('VSWF Data'!M3,'VSWF Data'!Q3,'VSWF Data'!N3)</f>
        <v>12.4-20.69</v>
      </c>
      <c r="AN6" s="98">
        <f>'VSWF Data'!G3</f>
        <v>5.4999999999999993E-2</v>
      </c>
      <c r="AO6" s="93">
        <f>'VSWF Data'!F3</f>
        <v>645</v>
      </c>
      <c r="AP6" s="83" t="str">
        <f>CONCATENATE('VSWF Data'!O3,'VSWF Data'!Q3,'VSWF Data'!P3)</f>
        <v>13.43-24.05</v>
      </c>
      <c r="AQ6" s="98">
        <f>'VSWF Data'!H3</f>
        <v>9.1000000000000025E-2</v>
      </c>
      <c r="AR6" s="83" t="str">
        <f>CONCATENATE('VSWF Data'!I12,'VSWF Data'!Q12,'VSWF Data'!J12)</f>
        <v>1-5</v>
      </c>
      <c r="AS6" s="83" t="str">
        <f>CONCATENATE('VSWF Data'!K12,'VSWF Data'!Q12,'VSWF Data'!L12)</f>
        <v>0.93-16.25</v>
      </c>
      <c r="AT6" s="93">
        <f>'VSWF Data'!E12</f>
        <v>450</v>
      </c>
      <c r="AU6" s="83" t="str">
        <f>CONCATENATE('VSWF Data'!M12,'VSWF Data'!Q12,'VSWF Data'!N12)</f>
        <v>25.09-33.15</v>
      </c>
      <c r="AV6" s="98">
        <f>'VSWF Data'!G12</f>
        <v>9.4999999999999973E-2</v>
      </c>
      <c r="AW6" s="93">
        <f>'VSWF Data'!F12</f>
        <v>600</v>
      </c>
      <c r="AX6" s="83" t="str">
        <f>CONCATENATE('VSWF Data'!O12,'VSWF Data'!Q12,'VSWF Data'!P12)</f>
        <v>28.01-39.25</v>
      </c>
      <c r="AY6" s="98">
        <f>'VSWF Data'!H12</f>
        <v>0.15300000000000002</v>
      </c>
    </row>
    <row r="7" spans="2:51" x14ac:dyDescent="0.25">
      <c r="B7" s="82" t="s">
        <v>282</v>
      </c>
      <c r="C7" s="82" t="s">
        <v>337</v>
      </c>
      <c r="D7" s="83" t="s">
        <v>429</v>
      </c>
      <c r="E7" s="83" t="s">
        <v>439</v>
      </c>
      <c r="F7" s="83" t="s">
        <v>460</v>
      </c>
      <c r="G7" s="83" t="s">
        <v>460</v>
      </c>
      <c r="H7" s="83" t="s">
        <v>290</v>
      </c>
      <c r="I7" s="83" t="s">
        <v>294</v>
      </c>
      <c r="J7" s="83" t="s">
        <v>299</v>
      </c>
      <c r="K7" s="83" t="s">
        <v>306</v>
      </c>
      <c r="L7" s="83" t="s">
        <v>311</v>
      </c>
      <c r="M7" s="83" t="s">
        <v>317</v>
      </c>
      <c r="N7" s="83" t="s">
        <v>278</v>
      </c>
      <c r="O7" s="83" t="s">
        <v>277</v>
      </c>
      <c r="P7" s="83">
        <v>1050</v>
      </c>
      <c r="Q7" s="83">
        <v>1010</v>
      </c>
      <c r="R7" s="83">
        <v>1150</v>
      </c>
      <c r="S7" s="83">
        <v>1110</v>
      </c>
      <c r="T7" s="83" t="str">
        <f>CONCATENATE('VPWF Data'!I4,'VPWF Data'!Q4,'VPWF Data'!J4)</f>
        <v>0.5-10</v>
      </c>
      <c r="U7" s="83" t="str">
        <f>CONCATENATE('VPWF Data'!K4,'VPWF Data'!Q4,'VPWF Data'!L4)</f>
        <v>0.07-20.9</v>
      </c>
      <c r="V7" s="93">
        <f>'VPWF Data'!E4</f>
        <v>787.5</v>
      </c>
      <c r="W7" s="99" t="str">
        <f>CONCATENATE('VPWF Data'!M4,'VPWF Data'!Q4,'VPWF Data'!N4)</f>
        <v>14.21-35.91</v>
      </c>
      <c r="X7" s="83">
        <f>'VPWF Data'!G4</f>
        <v>4.4999999999999984E-2</v>
      </c>
      <c r="Y7" s="93">
        <f>'VPWF Data'!F4</f>
        <v>1050</v>
      </c>
      <c r="Z7" s="83" t="str">
        <f>CONCATENATE('VPWF Data'!O4,'VPWF Data'!Q4,'VPWF Data'!P4)</f>
        <v>14.87-41.78</v>
      </c>
      <c r="AA7" s="83">
        <f>'VPWF Data'!H4</f>
        <v>7.400000000000001E-2</v>
      </c>
      <c r="AB7" s="83" t="str">
        <f>CONCATENATE('VPWF Data'!I13,'VPWF Data'!Q13,'VPWF Data'!J13)</f>
        <v>1-10</v>
      </c>
      <c r="AC7" s="83" t="str">
        <f>CONCATENATE('VPWF Data'!K13,'VPWF Data'!Q13,'VPWF Data'!L13)</f>
        <v>0.33-24.91</v>
      </c>
      <c r="AD7" s="93">
        <f>'VPWF Data'!E13</f>
        <v>757.5</v>
      </c>
      <c r="AE7" s="83" t="str">
        <f>CONCATENATE('VPWF Data'!M13,'VPWF Data'!Q13,'VPWF Data'!N13)</f>
        <v>33.44-57.49</v>
      </c>
      <c r="AF7" s="98">
        <f>'VPWF Data'!G13</f>
        <v>8.4000000000000019E-2</v>
      </c>
      <c r="AG7" s="93">
        <f>'VPWF Data'!F13</f>
        <v>1010</v>
      </c>
      <c r="AH7" s="83" t="str">
        <f>CONCATENATE('VPWF Data'!O13,'VPWF Data'!Q13,'VPWF Data'!P13)</f>
        <v>36.03-68.85</v>
      </c>
      <c r="AI7" s="98">
        <f>'VPWF Data'!H13</f>
        <v>0.13300000000000001</v>
      </c>
      <c r="AJ7" s="83" t="str">
        <f>CONCATENATE('VSWF Data'!I4,'VSWF Data'!Q4,'VSWF Data'!J4)</f>
        <v>0.5-8</v>
      </c>
      <c r="AK7" s="83" t="str">
        <f>CONCATENATE('VSWF Data'!K4,'VSWF Data'!Q4,'VSWF Data'!L4)</f>
        <v>0.07-13.44</v>
      </c>
      <c r="AL7" s="93">
        <f>'VSWF Data'!E4</f>
        <v>862.5</v>
      </c>
      <c r="AM7" s="83" t="str">
        <f>CONCATENATE('VSWF Data'!M4,'VSWF Data'!Q4,'VSWF Data'!N4)</f>
        <v>14.99-38.64</v>
      </c>
      <c r="AN7" s="98">
        <f>'VSWF Data'!G4</f>
        <v>0.06</v>
      </c>
      <c r="AO7" s="93">
        <f>'VSWF Data'!F4</f>
        <v>1150</v>
      </c>
      <c r="AP7" s="83" t="str">
        <f>CONCATENATE('VSWF Data'!O4,'VSWF Data'!Q4,'VSWF Data'!P4)</f>
        <v>15.64-44.88</v>
      </c>
      <c r="AQ7" s="98">
        <f>'VSWF Data'!H4</f>
        <v>9.9999999999999978E-2</v>
      </c>
      <c r="AR7" s="83" t="str">
        <f>CONCATENATE('VSWF Data'!I13,'VSWF Data'!Q13,'VSWF Data'!J13)</f>
        <v>1-8</v>
      </c>
      <c r="AS7" s="83" t="str">
        <f>CONCATENATE('VSWF Data'!K13,'VSWF Data'!Q13,'VSWF Data'!L13)</f>
        <v>0.37-17.62</v>
      </c>
      <c r="AT7" s="93">
        <f>'VSWF Data'!E13</f>
        <v>832.5</v>
      </c>
      <c r="AU7" s="83" t="str">
        <f>CONCATENATE('VSWF Data'!M13,'VSWF Data'!Q13,'VSWF Data'!N13)</f>
        <v>35.95-63.08</v>
      </c>
      <c r="AV7" s="98">
        <f>'VSWF Data'!G13</f>
        <v>0.11199999999999999</v>
      </c>
      <c r="AW7" s="93">
        <f>'VSWF Data'!F13</f>
        <v>1110</v>
      </c>
      <c r="AX7" s="83" t="str">
        <f>CONCATENATE('VSWF Data'!O13,'VSWF Data'!Q13,'VSWF Data'!P13)</f>
        <v>38.48-74.59</v>
      </c>
      <c r="AY7" s="98">
        <f>'VSWF Data'!H13</f>
        <v>0.18</v>
      </c>
    </row>
    <row r="8" spans="2:51" x14ac:dyDescent="0.25">
      <c r="B8" s="82" t="s">
        <v>283</v>
      </c>
      <c r="C8" s="82" t="s">
        <v>337</v>
      </c>
      <c r="D8" s="83" t="s">
        <v>430</v>
      </c>
      <c r="E8" s="83" t="s">
        <v>440</v>
      </c>
      <c r="F8" s="83" t="s">
        <v>461</v>
      </c>
      <c r="G8" s="83" t="s">
        <v>465</v>
      </c>
      <c r="H8" s="83" t="s">
        <v>290</v>
      </c>
      <c r="I8" s="83" t="s">
        <v>294</v>
      </c>
      <c r="J8" s="83" t="s">
        <v>299</v>
      </c>
      <c r="K8" s="83" t="s">
        <v>306</v>
      </c>
      <c r="L8" s="83" t="s">
        <v>312</v>
      </c>
      <c r="M8" s="83" t="s">
        <v>317</v>
      </c>
      <c r="N8" s="83" t="s">
        <v>277</v>
      </c>
      <c r="O8" s="83" t="s">
        <v>276</v>
      </c>
      <c r="P8" s="83">
        <v>1255</v>
      </c>
      <c r="Q8" s="83">
        <v>1185</v>
      </c>
      <c r="R8" s="83">
        <v>1490</v>
      </c>
      <c r="S8" s="83">
        <v>1425</v>
      </c>
      <c r="T8" s="83" t="str">
        <f>CONCATENATE('VPWF Data'!I5,'VPWF Data'!Q5,'VPWF Data'!J5)</f>
        <v>0.5-10</v>
      </c>
      <c r="U8" s="83" t="str">
        <f>CONCATENATE('VPWF Data'!K5,'VPWF Data'!Q5,'VPWF Data'!L5)</f>
        <v>0.07-20.9</v>
      </c>
      <c r="V8" s="93">
        <f>'VPWF Data'!E5</f>
        <v>941.25</v>
      </c>
      <c r="W8" s="99" t="str">
        <f>CONCATENATE('VPWF Data'!M5,'VPWF Data'!Q5,'VPWF Data'!N5)</f>
        <v>14.62-39.42</v>
      </c>
      <c r="X8" s="83">
        <f>'VPWF Data'!G5</f>
        <v>6.0999999999999999E-2</v>
      </c>
      <c r="Y8" s="93">
        <f>'VPWF Data'!F5</f>
        <v>1255</v>
      </c>
      <c r="Z8" s="83" t="str">
        <f>CONCATENATE('VPWF Data'!O5,'VPWF Data'!Q5,'VPWF Data'!P5)</f>
        <v>15.25-45.95</v>
      </c>
      <c r="AA8" s="83">
        <f>'VPWF Data'!H5</f>
        <v>0.10199999999999998</v>
      </c>
      <c r="AB8" s="83" t="str">
        <f>CONCATENATE('VPWF Data'!I14,'VPWF Data'!Q14,'VPWF Data'!J14)</f>
        <v>1-10</v>
      </c>
      <c r="AC8" s="83" t="str">
        <f>CONCATENATE('VPWF Data'!K14,'VPWF Data'!Q14,'VPWF Data'!L14)</f>
        <v>0.33-24.92</v>
      </c>
      <c r="AD8" s="93">
        <f>'VPWF Data'!E14</f>
        <v>888.75</v>
      </c>
      <c r="AE8" s="83" t="str">
        <f>CONCATENATE('VPWF Data'!M14,'VPWF Data'!Q14,'VPWF Data'!N14)</f>
        <v>34.94-63.68</v>
      </c>
      <c r="AF8" s="98">
        <f>'VPWF Data'!G14</f>
        <v>0.10799999999999998</v>
      </c>
      <c r="AG8" s="93">
        <f>'VPWF Data'!F14</f>
        <v>1185</v>
      </c>
      <c r="AH8" s="83" t="str">
        <f>CONCATENATE('VPWF Data'!O14,'VPWF Data'!Q14,'VPWF Data'!P14)</f>
        <v>37.29-75.54</v>
      </c>
      <c r="AI8" s="98">
        <f>'VPWF Data'!H14</f>
        <v>0.17399999999999999</v>
      </c>
      <c r="AJ8" s="83" t="str">
        <f>CONCATENATE('VSWF Data'!I5,'VSWF Data'!Q5,'VSWF Data'!J5)</f>
        <v>0.5-8</v>
      </c>
      <c r="AK8" s="83" t="str">
        <f>CONCATENATE('VSWF Data'!K5,'VSWF Data'!Q5,'VSWF Data'!L5)</f>
        <v>0.07-13.44</v>
      </c>
      <c r="AL8" s="93">
        <f>'VSWF Data'!E5</f>
        <v>1117.5</v>
      </c>
      <c r="AM8" s="83" t="str">
        <f>CONCATENATE('VSWF Data'!M5,'VSWF Data'!Q5,'VSWF Data'!N5)</f>
        <v>15.58-44.22</v>
      </c>
      <c r="AN8" s="98">
        <f>'VSWF Data'!G5</f>
        <v>9.4999999999999973E-2</v>
      </c>
      <c r="AO8" s="93">
        <f>'VSWF Data'!F5</f>
        <v>1490</v>
      </c>
      <c r="AP8" s="83" t="str">
        <f>CONCATENATE('VSWF Data'!O5,'VSWF Data'!Q5,'VSWF Data'!P5)</f>
        <v>16.2-51.41</v>
      </c>
      <c r="AQ8" s="98">
        <f>'VSWF Data'!H5</f>
        <v>0.15999999999999998</v>
      </c>
      <c r="AR8" s="83" t="str">
        <f>CONCATENATE('VSWF Data'!I14,'VSWF Data'!Q14,'VSWF Data'!J14)</f>
        <v>1-8</v>
      </c>
      <c r="AS8" s="83" t="str">
        <f>CONCATENATE('VSWF Data'!K14,'VSWF Data'!Q14,'VSWF Data'!L14)</f>
        <v>0.37-17.63</v>
      </c>
      <c r="AT8" s="93">
        <f>'VSWF Data'!E14</f>
        <v>1068.75</v>
      </c>
      <c r="AU8" s="83" t="str">
        <f>CONCATENATE('VSWF Data'!M14,'VSWF Data'!Q14,'VSWF Data'!N14)</f>
        <v>38.17-73.04</v>
      </c>
      <c r="AV8" s="98">
        <f>'VSWF Data'!G14</f>
        <v>0.16899999999999998</v>
      </c>
      <c r="AW8" s="93">
        <f>'VSWF Data'!F14</f>
        <v>1425</v>
      </c>
      <c r="AX8" s="83" t="str">
        <f>CONCATENATE('VSWF Data'!O14,'VSWF Data'!Q14,'VSWF Data'!P14)</f>
        <v>40.33-85.04</v>
      </c>
      <c r="AY8" s="98">
        <f>'VSWF Data'!H14</f>
        <v>0.27500000000000002</v>
      </c>
    </row>
    <row r="9" spans="2:51" x14ac:dyDescent="0.25">
      <c r="B9" s="82" t="s">
        <v>284</v>
      </c>
      <c r="C9" s="82" t="s">
        <v>337</v>
      </c>
      <c r="D9" s="83" t="s">
        <v>431</v>
      </c>
      <c r="E9" s="83" t="s">
        <v>441</v>
      </c>
      <c r="F9" s="83" t="s">
        <v>462</v>
      </c>
      <c r="G9" s="83" t="s">
        <v>462</v>
      </c>
      <c r="H9" s="83" t="s">
        <v>290</v>
      </c>
      <c r="I9" s="83" t="s">
        <v>294</v>
      </c>
      <c r="J9" s="83" t="s">
        <v>299</v>
      </c>
      <c r="K9" s="83" t="s">
        <v>307</v>
      </c>
      <c r="L9" s="83" t="s">
        <v>313</v>
      </c>
      <c r="M9" s="83" t="s">
        <v>318</v>
      </c>
      <c r="N9" s="83" t="s">
        <v>276</v>
      </c>
      <c r="O9" s="83" t="s">
        <v>275</v>
      </c>
      <c r="P9" s="83">
        <v>1405</v>
      </c>
      <c r="Q9" s="83">
        <v>1310</v>
      </c>
      <c r="R9" s="83">
        <v>1740</v>
      </c>
      <c r="S9" s="83">
        <v>1640</v>
      </c>
      <c r="T9" s="83" t="str">
        <f>CONCATENATE('VPWF Data'!I6,'VPWF Data'!Q6,'VPWF Data'!J6)</f>
        <v>0.5-10</v>
      </c>
      <c r="U9" s="83" t="str">
        <f>CONCATENATE('VPWF Data'!K6,'VPWF Data'!Q6,'VPWF Data'!L6)</f>
        <v>0.07-20.9</v>
      </c>
      <c r="V9" s="93">
        <f>'VPWF Data'!E6</f>
        <v>1053.75</v>
      </c>
      <c r="W9" s="99" t="str">
        <f>CONCATENATE('VPWF Data'!M6,'VPWF Data'!Q6,'VPWF Data'!N6)</f>
        <v>14.87-41.86</v>
      </c>
      <c r="X9" s="83">
        <f>'VPWF Data'!G6</f>
        <v>7.5000000000000011E-2</v>
      </c>
      <c r="Y9" s="93">
        <f>'VPWF Data'!F6</f>
        <v>1405</v>
      </c>
      <c r="Z9" s="83" t="str">
        <f>CONCATENATE('VPWF Data'!O6,'VPWF Data'!Q6,'VPWF Data'!P6)</f>
        <v>15.48-48.81</v>
      </c>
      <c r="AA9" s="83">
        <f>'VPWF Data'!H6</f>
        <v>0.125</v>
      </c>
      <c r="AB9" s="83" t="str">
        <f>CONCATENATE('VPWF Data'!I15,'VPWF Data'!Q15,'VPWF Data'!J15)</f>
        <v>1-10</v>
      </c>
      <c r="AC9" s="83" t="str">
        <f>CONCATENATE('VPWF Data'!K15,'VPWF Data'!Q15,'VPWF Data'!L15)</f>
        <v>0.33-24.92</v>
      </c>
      <c r="AD9" s="93">
        <f>'VPWF Data'!E15</f>
        <v>982.5</v>
      </c>
      <c r="AE9" s="83" t="str">
        <f>CONCATENATE('VPWF Data'!M15,'VPWF Data'!Q15,'VPWF Data'!N15)</f>
        <v>35.81-67.73</v>
      </c>
      <c r="AF9" s="98">
        <f>'VPWF Data'!G15</f>
        <v>0.127</v>
      </c>
      <c r="AG9" s="93">
        <f>'VPWF Data'!F15</f>
        <v>1310</v>
      </c>
      <c r="AH9" s="83" t="str">
        <f>CONCATENATE('VPWF Data'!O15,'VPWF Data'!Q15,'VPWF Data'!P15)</f>
        <v>38.01-79.84</v>
      </c>
      <c r="AI9" s="98">
        <f>'VPWF Data'!H15</f>
        <v>0.20500000000000002</v>
      </c>
      <c r="AJ9" s="83" t="str">
        <f>CONCATENATE('VSWF Data'!I6,'VSWF Data'!Q6,'VSWF Data'!J6)</f>
        <v>0.5-8</v>
      </c>
      <c r="AK9" s="83" t="str">
        <f>CONCATENATE('VSWF Data'!K6,'VSWF Data'!Q6,'VSWF Data'!L6)</f>
        <v>0.08-14.11</v>
      </c>
      <c r="AL9" s="93">
        <f>'VSWF Data'!E6</f>
        <v>1305</v>
      </c>
      <c r="AM9" s="83" t="str">
        <f>CONCATENATE('VSWF Data'!M6,'VSWF Data'!Q6,'VSWF Data'!N6)</f>
        <v>17.32-52.94</v>
      </c>
      <c r="AN9" s="98">
        <f>'VSWF Data'!G6</f>
        <v>0.10999999999999999</v>
      </c>
      <c r="AO9" s="93">
        <f>'VSWF Data'!F6</f>
        <v>1740</v>
      </c>
      <c r="AP9" s="83" t="str">
        <f>CONCATENATE('VSWF Data'!O6,'VSWF Data'!Q6,'VSWF Data'!P6)</f>
        <v>17.91-61.41</v>
      </c>
      <c r="AQ9" s="98">
        <f>'VSWF Data'!H6</f>
        <v>0.186</v>
      </c>
      <c r="AR9" s="83" t="str">
        <f>CONCATENATE('VSWF Data'!I15,'VSWF Data'!Q15,'VSWF Data'!J15)</f>
        <v>1-8</v>
      </c>
      <c r="AS9" s="83" t="str">
        <f>CONCATENATE('VSWF Data'!K15,'VSWF Data'!Q15,'VSWF Data'!L15)</f>
        <v>0.37-17.37</v>
      </c>
      <c r="AT9" s="93">
        <f>'VSWF Data'!E15</f>
        <v>1230</v>
      </c>
      <c r="AU9" s="83" t="str">
        <f>CONCATENATE('VSWF Data'!M15,'VSWF Data'!Q15,'VSWF Data'!N15)</f>
        <v>42.27-86.12</v>
      </c>
      <c r="AV9" s="98">
        <f>'VSWF Data'!G15</f>
        <v>0.187</v>
      </c>
      <c r="AW9" s="93">
        <f>'VSWF Data'!F15</f>
        <v>1640</v>
      </c>
      <c r="AX9" s="83" t="str">
        <f>CONCATENATE('VSWF Data'!O15,'VSWF Data'!Q15,'VSWF Data'!P15)</f>
        <v>44.36-100.46</v>
      </c>
      <c r="AY9" s="98">
        <f>'VSWF Data'!H15</f>
        <v>0.30600000000000005</v>
      </c>
    </row>
    <row r="10" spans="2:51" x14ac:dyDescent="0.25">
      <c r="B10" s="82" t="s">
        <v>285</v>
      </c>
      <c r="C10" s="82" t="s">
        <v>337</v>
      </c>
      <c r="D10" s="83" t="s">
        <v>432</v>
      </c>
      <c r="E10" s="83" t="s">
        <v>442</v>
      </c>
      <c r="F10" s="83" t="s">
        <v>463</v>
      </c>
      <c r="G10" s="83" t="s">
        <v>463</v>
      </c>
      <c r="H10" s="83" t="s">
        <v>291</v>
      </c>
      <c r="I10" s="83" t="s">
        <v>295</v>
      </c>
      <c r="J10" s="83" t="s">
        <v>300</v>
      </c>
      <c r="K10" s="83" t="s">
        <v>308</v>
      </c>
      <c r="L10" s="83" t="s">
        <v>314</v>
      </c>
      <c r="M10" s="83" t="s">
        <v>319</v>
      </c>
      <c r="N10" s="83" t="s">
        <v>272</v>
      </c>
      <c r="O10" s="83" t="s">
        <v>275</v>
      </c>
      <c r="P10" s="83">
        <v>1710</v>
      </c>
      <c r="Q10" s="83">
        <v>1600</v>
      </c>
      <c r="R10" s="83">
        <v>2470</v>
      </c>
      <c r="S10" s="83">
        <v>2335</v>
      </c>
      <c r="T10" s="83" t="str">
        <f>CONCATENATE('VPWF Data'!I7,'VPWF Data'!Q7,'VPWF Data'!J7)</f>
        <v>0.5-7</v>
      </c>
      <c r="U10" s="83" t="str">
        <f>CONCATENATE('VPWF Data'!K7,'VPWF Data'!Q7,'VPWF Data'!L7)</f>
        <v>0.1-11.03</v>
      </c>
      <c r="V10" s="93">
        <f>'VPWF Data'!E7</f>
        <v>1282.5</v>
      </c>
      <c r="W10" s="99" t="str">
        <f>CONCATENATE('VPWF Data'!M7,'VPWF Data'!Q7,'VPWF Data'!N7)</f>
        <v>18.35-47.83</v>
      </c>
      <c r="X10" s="83">
        <f>'VPWF Data'!G7</f>
        <v>6.6000000000000003E-2</v>
      </c>
      <c r="Y10" s="93">
        <f>'VPWF Data'!F7</f>
        <v>1710</v>
      </c>
      <c r="Z10" s="83" t="str">
        <f>CONCATENATE('VPWF Data'!O7,'VPWF Data'!Q7,'VPWF Data'!P7)</f>
        <v>19.1-55.38</v>
      </c>
      <c r="AA10" s="83">
        <f>'VPWF Data'!H7</f>
        <v>0.10999999999999999</v>
      </c>
      <c r="AB10" s="83" t="str">
        <f>CONCATENATE('VPWF Data'!I16,'VPWF Data'!Q16,'VPWF Data'!J16)</f>
        <v>1-7</v>
      </c>
      <c r="AC10" s="83" t="str">
        <f>CONCATENATE('VPWF Data'!K16,'VPWF Data'!Q16,'VPWF Data'!L16)</f>
        <v>0.62-18.9</v>
      </c>
      <c r="AD10" s="93">
        <f>'VPWF Data'!E16</f>
        <v>1200</v>
      </c>
      <c r="AE10" s="83" t="str">
        <f>CONCATENATE('VPWF Data'!M16,'VPWF Data'!Q16,'VPWF Data'!N16)</f>
        <v>40.95-77.24</v>
      </c>
      <c r="AF10" s="98">
        <f>'VPWF Data'!G16</f>
        <v>0.11399999999999999</v>
      </c>
      <c r="AG10" s="93">
        <f>'VPWF Data'!F16</f>
        <v>1600</v>
      </c>
      <c r="AH10" s="83" t="str">
        <f>CONCATENATE('VPWF Data'!O16,'VPWF Data'!Q16,'VPWF Data'!P16)</f>
        <v>43.18-90.07</v>
      </c>
      <c r="AI10" s="98">
        <f>'VPWF Data'!H16</f>
        <v>0.184</v>
      </c>
      <c r="AJ10" s="83" t="str">
        <f>CONCATENATE('VSWF Data'!I7,'VSWF Data'!Q7,'VSWF Data'!J7)</f>
        <v>0.5-6</v>
      </c>
      <c r="AK10" s="83" t="str">
        <f>CONCATENATE('VSWF Data'!K7,'VSWF Data'!Q7,'VSWF Data'!L7)</f>
        <v>0.11-9.16</v>
      </c>
      <c r="AL10" s="93">
        <f>'VSWF Data'!E7</f>
        <v>1852.5</v>
      </c>
      <c r="AM10" s="83" t="str">
        <f>CONCATENATE('VSWF Data'!M7,'VSWF Data'!Q7,'VSWF Data'!N7)</f>
        <v>21.35-64.92</v>
      </c>
      <c r="AN10" s="98">
        <f>'VSWF Data'!G7</f>
        <v>0.10999999999999999</v>
      </c>
      <c r="AO10" s="93">
        <f>'VSWF Data'!F7</f>
        <v>2470</v>
      </c>
      <c r="AP10" s="83" t="str">
        <f>CONCATENATE('VSWF Data'!O7,'VSWF Data'!Q7,'VSWF Data'!P7)</f>
        <v>22.01-74.87</v>
      </c>
      <c r="AQ10" s="98">
        <f>'VSWF Data'!H7</f>
        <v>0.186</v>
      </c>
      <c r="AR10" s="83" t="str">
        <f>CONCATENATE('VSWF Data'!I16,'VSWF Data'!Q16,'VSWF Data'!J16)</f>
        <v>1.5-6</v>
      </c>
      <c r="AS10" s="83" t="str">
        <f>CONCATENATE('VSWF Data'!K16,'VSWF Data'!Q16,'VSWF Data'!L16)</f>
        <v>1.46-16.74</v>
      </c>
      <c r="AT10" s="93">
        <f>'VSWF Data'!E16</f>
        <v>1751.25</v>
      </c>
      <c r="AU10" s="83" t="str">
        <f>CONCATENATE('VSWF Data'!M16,'VSWF Data'!Q16,'VSWF Data'!N16)</f>
        <v>63.82-105.12</v>
      </c>
      <c r="AV10" s="98">
        <f>'VSWF Data'!G16</f>
        <v>0.187</v>
      </c>
      <c r="AW10" s="93">
        <f>'VSWF Data'!F16</f>
        <v>2335</v>
      </c>
      <c r="AX10" s="83" t="str">
        <f>CONCATENATE('VSWF Data'!O16,'VSWF Data'!Q16,'VSWF Data'!P16)</f>
        <v>67.47-119.57</v>
      </c>
      <c r="AY10" s="98">
        <f>'VSWF Data'!H16</f>
        <v>0.30300000000000005</v>
      </c>
    </row>
    <row r="11" spans="2:51" x14ac:dyDescent="0.25">
      <c r="B11" s="82" t="s">
        <v>286</v>
      </c>
      <c r="C11" s="82" t="s">
        <v>337</v>
      </c>
      <c r="D11" s="83" t="s">
        <v>433</v>
      </c>
      <c r="E11" s="83" t="s">
        <v>443</v>
      </c>
      <c r="F11" s="83" t="s">
        <v>463</v>
      </c>
      <c r="G11" s="83" t="s">
        <v>463</v>
      </c>
      <c r="H11" s="83" t="s">
        <v>291</v>
      </c>
      <c r="I11" s="83" t="s">
        <v>295</v>
      </c>
      <c r="J11" s="83" t="s">
        <v>300</v>
      </c>
      <c r="K11" s="83" t="s">
        <v>308</v>
      </c>
      <c r="L11" s="83" t="s">
        <v>314</v>
      </c>
      <c r="M11" s="83" t="s">
        <v>319</v>
      </c>
      <c r="N11" s="83" t="s">
        <v>272</v>
      </c>
      <c r="O11" s="83" t="s">
        <v>273</v>
      </c>
      <c r="P11" s="83">
        <v>1800</v>
      </c>
      <c r="Q11" s="83">
        <v>1660</v>
      </c>
      <c r="R11" s="83">
        <v>2675</v>
      </c>
      <c r="S11" s="83">
        <v>2445</v>
      </c>
      <c r="T11" s="83" t="str">
        <f>CONCATENATE('VPWF Data'!I8,'VPWF Data'!Q8,'VPWF Data'!J8)</f>
        <v>0.5-7.5</v>
      </c>
      <c r="U11" s="83" t="str">
        <f>CONCATENATE('VPWF Data'!K8,'VPWF Data'!Q8,'VPWF Data'!L8)</f>
        <v>0.1-12.52</v>
      </c>
      <c r="V11" s="93">
        <f>'VPWF Data'!E8</f>
        <v>1350</v>
      </c>
      <c r="W11" s="99" t="str">
        <f>CONCATENATE('VPWF Data'!M8,'VPWF Data'!Q8,'VPWF Data'!N8)</f>
        <v>18.49-49.45</v>
      </c>
      <c r="X11" s="83">
        <f>'VPWF Data'!G8</f>
        <v>7.2000000000000008E-2</v>
      </c>
      <c r="Y11" s="93">
        <f>'VPWF Data'!F8</f>
        <v>1800</v>
      </c>
      <c r="Z11" s="83" t="str">
        <f>CONCATENATE('VPWF Data'!O8,'VPWF Data'!Q8,'VPWF Data'!P8)</f>
        <v>19.23-57.35</v>
      </c>
      <c r="AA11" s="83">
        <f>'VPWF Data'!H8</f>
        <v>0.121</v>
      </c>
      <c r="AB11" s="83" t="str">
        <f>CONCATENATE('VPWF Data'!I17,'VPWF Data'!Q17,'VPWF Data'!J17)</f>
        <v>1-7.5</v>
      </c>
      <c r="AC11" s="83" t="str">
        <f>CONCATENATE('VPWF Data'!K17,'VPWF Data'!Q17,'VPWF Data'!L17)</f>
        <v>0.62-21.39</v>
      </c>
      <c r="AD11" s="93">
        <f>'VPWF Data'!E17</f>
        <v>1245</v>
      </c>
      <c r="AE11" s="83" t="str">
        <f>CONCATENATE('VPWF Data'!M17,'VPWF Data'!Q17,'VPWF Data'!N17)</f>
        <v>41.27-79.5</v>
      </c>
      <c r="AF11" s="98">
        <f>'VPWF Data'!G17</f>
        <v>0.121</v>
      </c>
      <c r="AG11" s="93">
        <f>'VPWF Data'!F17</f>
        <v>1660</v>
      </c>
      <c r="AH11" s="83" t="str">
        <f>CONCATENATE('VPWF Data'!O17,'VPWF Data'!Q17,'VPWF Data'!P17)</f>
        <v>43.43-92.65</v>
      </c>
      <c r="AI11" s="98">
        <f>'VPWF Data'!H17</f>
        <v>0.19500000000000001</v>
      </c>
      <c r="AJ11" s="83" t="str">
        <f>CONCATENATE('VSWF Data'!I8,'VSWF Data'!Q8,'VSWF Data'!J8)</f>
        <v>0.5-6</v>
      </c>
      <c r="AK11" s="83" t="str">
        <f>CONCATENATE('VSWF Data'!K8,'VSWF Data'!Q8,'VSWF Data'!L8)</f>
        <v>0.11-9.17</v>
      </c>
      <c r="AL11" s="93">
        <f>'VSWF Data'!E8</f>
        <v>2006.25</v>
      </c>
      <c r="AM11" s="83" t="str">
        <f>CONCATENATE('VSWF Data'!M8,'VSWF Data'!Q8,'VSWF Data'!N8)</f>
        <v>21.54-67.54</v>
      </c>
      <c r="AN11" s="98">
        <f>'VSWF Data'!G8</f>
        <v>0.127</v>
      </c>
      <c r="AO11" s="93">
        <f>'VSWF Data'!F8</f>
        <v>2675</v>
      </c>
      <c r="AP11" s="83" t="str">
        <f>CONCATENATE('VSWF Data'!O8,'VSWF Data'!Q8,'VSWF Data'!P8)</f>
        <v>22.18-77.86</v>
      </c>
      <c r="AQ11" s="98">
        <f>'VSWF Data'!H8</f>
        <v>0.21500000000000002</v>
      </c>
      <c r="AR11" s="83" t="str">
        <f>CONCATENATE('VSWF Data'!I17,'VSWF Data'!Q17,'VSWF Data'!J17)</f>
        <v>1.5-6</v>
      </c>
      <c r="AS11" s="83" t="str">
        <f>CONCATENATE('VSWF Data'!K17,'VSWF Data'!Q17,'VSWF Data'!L17)</f>
        <v>1.46-16.74</v>
      </c>
      <c r="AT11" s="93">
        <f>'VSWF Data'!E17</f>
        <v>1833.75</v>
      </c>
      <c r="AU11" s="83" t="str">
        <f>CONCATENATE('VSWF Data'!M17,'VSWF Data'!Q17,'VSWF Data'!N17)</f>
        <v>64.45-107.45</v>
      </c>
      <c r="AV11" s="98">
        <f>'VSWF Data'!G17</f>
        <v>0.20200000000000001</v>
      </c>
      <c r="AW11" s="93">
        <f>'VSWF Data'!F17</f>
        <v>2445</v>
      </c>
      <c r="AX11" s="83" t="str">
        <f>CONCATENATE('VSWF Data'!O17,'VSWF Data'!Q17,'VSWF Data'!P17)</f>
        <v>67.99-121.85</v>
      </c>
      <c r="AY11" s="98">
        <f>'VSWF Data'!H17</f>
        <v>0.32799999999999996</v>
      </c>
    </row>
    <row r="12" spans="2:51" s="78" customFormat="1" x14ac:dyDescent="0.25">
      <c r="B12" s="82" t="s">
        <v>282</v>
      </c>
      <c r="C12" s="82" t="s">
        <v>338</v>
      </c>
      <c r="D12" s="83" t="s">
        <v>434</v>
      </c>
      <c r="E12" s="83" t="s">
        <v>444</v>
      </c>
      <c r="F12" s="83" t="s">
        <v>460</v>
      </c>
      <c r="G12" s="83" t="s">
        <v>460</v>
      </c>
      <c r="H12" s="83" t="s">
        <v>290</v>
      </c>
      <c r="I12" s="83" t="s">
        <v>294</v>
      </c>
      <c r="J12" s="83" t="s">
        <v>299</v>
      </c>
      <c r="K12" s="83" t="s">
        <v>306</v>
      </c>
      <c r="L12" s="83" t="s">
        <v>311</v>
      </c>
      <c r="M12" s="83" t="s">
        <v>317</v>
      </c>
      <c r="N12" s="83" t="s">
        <v>278</v>
      </c>
      <c r="O12" s="83" t="s">
        <v>277</v>
      </c>
      <c r="P12" s="83">
        <v>1055</v>
      </c>
      <c r="Q12" s="83">
        <v>1035</v>
      </c>
      <c r="R12" s="83">
        <v>1095</v>
      </c>
      <c r="S12" s="83">
        <v>1095</v>
      </c>
      <c r="T12" s="83" t="str">
        <f>CONCATENATE('VPWF Data'!I21,'VPWF Data'!Q21,'VPWF Data'!J21)</f>
        <v>0.5-10</v>
      </c>
      <c r="U12" s="83" t="str">
        <f>CONCATENATE('VPWF Data'!K21,'VPWF Data'!Q21,'VPWF Data'!L21)</f>
        <v>0.07-20.9</v>
      </c>
      <c r="V12" s="93">
        <f>'VPWF Data'!E21</f>
        <v>791.25</v>
      </c>
      <c r="W12" s="83" t="str">
        <f>CONCATENATE('VPWF Data'!M21,'VPWF Data'!Q21,'VPWF Data'!N21)</f>
        <v>14.22-35.98</v>
      </c>
      <c r="X12" s="83">
        <f>'VPWF Data'!G21</f>
        <v>4.4999999999999984E-2</v>
      </c>
      <c r="Y12" s="93">
        <f>'VPWF Data'!F21</f>
        <v>1055</v>
      </c>
      <c r="Z12" s="83" t="str">
        <f>CONCATENATE('VPWF Data'!O21,'VPWF Data'!Q21,'VPWF Data'!P21)</f>
        <v>14.88-41.89</v>
      </c>
      <c r="AA12" s="83">
        <f>'VPWF Data'!H21</f>
        <v>7.5000000000000011E-2</v>
      </c>
      <c r="AB12" s="83" t="str">
        <f>CONCATENATE('VPWF Data'!I28,'VPWF Data'!Q28,'VPWF Data'!J28)</f>
        <v>1-10</v>
      </c>
      <c r="AC12" s="83" t="str">
        <f>CONCATENATE('VPWF Data'!K28,'VPWF Data'!Q28,'VPWF Data'!L28)</f>
        <v>0.33-24.91</v>
      </c>
      <c r="AD12" s="93">
        <f>'VPWF Data'!E28</f>
        <v>776.25</v>
      </c>
      <c r="AE12" s="83" t="str">
        <f>CONCATENATE('VPWF Data'!M28,'VPWF Data'!Q28,'VPWF Data'!N28)</f>
        <v>33.67-58.38</v>
      </c>
      <c r="AF12" s="98">
        <f>'VPWF Data'!G28</f>
        <v>8.7000000000000022E-2</v>
      </c>
      <c r="AG12" s="93">
        <f>'VPWF Data'!F28</f>
        <v>1035</v>
      </c>
      <c r="AH12" s="83" t="str">
        <f>CONCATENATE('VPWF Data'!O28,'VPWF Data'!Q28,'VPWF Data'!P28)</f>
        <v>36.23-69.85</v>
      </c>
      <c r="AI12" s="98">
        <f>'VPWF Data'!H28</f>
        <v>0.13900000000000001</v>
      </c>
      <c r="AJ12" s="83" t="str">
        <f>CONCATENATE('VSWF Data'!I21,'VSWF Data'!Q21,'VSWF Data'!J21)</f>
        <v>0.5-8</v>
      </c>
      <c r="AK12" s="83" t="str">
        <f>CONCATENATE('VSWF Data'!K21,'VSWF Data'!Q21,'VSWF Data'!L21)</f>
        <v>0.07-13.44</v>
      </c>
      <c r="AL12" s="93">
        <f>'VSWF Data'!E21</f>
        <v>821.25</v>
      </c>
      <c r="AM12" s="83" t="str">
        <f>CONCATENATE('VSWF Data'!M21,'VSWF Data'!Q21,'VSWF Data'!N21)</f>
        <v>14.87-37.66</v>
      </c>
      <c r="AN12" s="98">
        <f>'VSWF Data'!G21</f>
        <v>5.4999999999999993E-2</v>
      </c>
      <c r="AO12" s="93">
        <f>'VSWF Data'!F21</f>
        <v>1095</v>
      </c>
      <c r="AP12" s="83" t="str">
        <f>CONCATENATE('VSWF Data'!O21,'VSWF Data'!Q21,'VSWF Data'!P21)</f>
        <v>15.54-43.75</v>
      </c>
      <c r="AQ12" s="98">
        <f>'VSWF Data'!H21</f>
        <v>9.2000000000000026E-2</v>
      </c>
      <c r="AR12" s="83" t="str">
        <f>CONCATENATE('VSWF Data'!I28,'VSWF Data'!Q28,'VSWF Data'!J28)</f>
        <v>1-8</v>
      </c>
      <c r="AS12" s="83" t="str">
        <f>CONCATENATE('VSWF Data'!K28,'VSWF Data'!Q28,'VSWF Data'!L28)</f>
        <v>0.37-17.62</v>
      </c>
      <c r="AT12" s="93">
        <f>'VSWF Data'!E28</f>
        <v>821.25</v>
      </c>
      <c r="AU12" s="83" t="str">
        <f>CONCATENATE('VSWF Data'!M28,'VSWF Data'!Q28,'VSWF Data'!N28)</f>
        <v>35.82-62.53</v>
      </c>
      <c r="AV12" s="83">
        <f>'VSWF Data'!G28</f>
        <v>0.10999999999999999</v>
      </c>
      <c r="AW12" s="93">
        <f>'VSWF Data'!F28</f>
        <v>1095</v>
      </c>
      <c r="AX12" s="83" t="str">
        <f>CONCATENATE('VSWF Data'!O28,'VSWF Data'!Q28,'VSWF Data'!P28)</f>
        <v>38.37-74.03</v>
      </c>
      <c r="AY12" s="98">
        <f>'VSWF Data'!H28</f>
        <v>0.17599999999999999</v>
      </c>
    </row>
    <row r="13" spans="2:51" s="78" customFormat="1" x14ac:dyDescent="0.25">
      <c r="B13" s="82" t="s">
        <v>283</v>
      </c>
      <c r="C13" s="82" t="s">
        <v>338</v>
      </c>
      <c r="D13" s="83" t="s">
        <v>435</v>
      </c>
      <c r="E13" s="83" t="s">
        <v>445</v>
      </c>
      <c r="F13" s="83" t="s">
        <v>461</v>
      </c>
      <c r="G13" s="83" t="s">
        <v>465</v>
      </c>
      <c r="H13" s="83" t="s">
        <v>290</v>
      </c>
      <c r="I13" s="83" t="s">
        <v>294</v>
      </c>
      <c r="J13" s="83" t="s">
        <v>299</v>
      </c>
      <c r="K13" s="83" t="s">
        <v>306</v>
      </c>
      <c r="L13" s="83" t="s">
        <v>312</v>
      </c>
      <c r="M13" s="83" t="s">
        <v>317</v>
      </c>
      <c r="N13" s="83" t="s">
        <v>277</v>
      </c>
      <c r="O13" s="83" t="s">
        <v>276</v>
      </c>
      <c r="P13" s="83">
        <v>1450</v>
      </c>
      <c r="Q13" s="83">
        <v>1415</v>
      </c>
      <c r="R13" s="83">
        <v>1495</v>
      </c>
      <c r="S13" s="83">
        <v>1345</v>
      </c>
      <c r="T13" s="83" t="str">
        <f>CONCATENATE('VPWF Data'!I22,'VPWF Data'!Q22,'VPWF Data'!J22)</f>
        <v>0.5-10</v>
      </c>
      <c r="U13" s="83" t="str">
        <f>CONCATENATE('VPWF Data'!K22,'VPWF Data'!Q22,'VPWF Data'!L22)</f>
        <v>0.07-20.9</v>
      </c>
      <c r="V13" s="93">
        <f>'VPWF Data'!E22</f>
        <v>1087.5</v>
      </c>
      <c r="W13" s="83" t="str">
        <f>CONCATENATE('VPWF Data'!M22,'VPWF Data'!Q22,'VPWF Data'!N22)</f>
        <v>14.94-42.58</v>
      </c>
      <c r="X13" s="83">
        <f>'VPWF Data'!G22</f>
        <v>7.9000000000000015E-2</v>
      </c>
      <c r="Y13" s="93">
        <f>'VPWF Data'!F22</f>
        <v>1450</v>
      </c>
      <c r="Z13" s="83" t="str">
        <f>CONCATENATE('VPWF Data'!O22,'VPWF Data'!Q22,'VPWF Data'!P22)</f>
        <v>15.54-49.64</v>
      </c>
      <c r="AA13" s="83">
        <f>'VPWF Data'!H22</f>
        <v>0.13300000000000001</v>
      </c>
      <c r="AB13" s="83" t="str">
        <f>CONCATENATE('VPWF Data'!I29,'VPWF Data'!Q29,'VPWF Data'!J29)</f>
        <v>1-10</v>
      </c>
      <c r="AC13" s="83" t="str">
        <f>CONCATENATE('VPWF Data'!K29,'VPWF Data'!Q29,'VPWF Data'!L29)</f>
        <v>0.33-24.92</v>
      </c>
      <c r="AD13" s="93">
        <f>'VPWF Data'!E29</f>
        <v>1061.25</v>
      </c>
      <c r="AE13" s="83" t="str">
        <f>CONCATENATE('VPWF Data'!M29,'VPWF Data'!Q29,'VPWF Data'!N29)</f>
        <v>36.43-70.88</v>
      </c>
      <c r="AF13" s="98">
        <f>'VPWF Data'!G29</f>
        <v>0.14400000000000002</v>
      </c>
      <c r="AG13" s="93">
        <f>'VPWF Data'!F29</f>
        <v>1415</v>
      </c>
      <c r="AH13" s="83" t="str">
        <f>CONCATENATE('VPWF Data'!O29,'VPWF Data'!Q29,'VPWF Data'!P29)</f>
        <v>38.53-83.19</v>
      </c>
      <c r="AI13" s="98">
        <f>'VPWF Data'!H29</f>
        <v>0.23399999999999999</v>
      </c>
      <c r="AJ13" s="83" t="str">
        <f>CONCATENATE('VSWF Data'!I22,'VSWF Data'!Q22,'VSWF Data'!J22)</f>
        <v>0.5-8</v>
      </c>
      <c r="AK13" s="83" t="str">
        <f>CONCATENATE('VSWF Data'!K22,'VSWF Data'!Q22,'VSWF Data'!L22)</f>
        <v>0.07-13.44</v>
      </c>
      <c r="AL13" s="93">
        <f>'VSWF Data'!E22</f>
        <v>1121.25</v>
      </c>
      <c r="AM13" s="83" t="str">
        <f>CONCATENATE('VSWF Data'!M22,'VSWF Data'!Q22,'VSWF Data'!N22)</f>
        <v>15.59-44.29</v>
      </c>
      <c r="AN13" s="98">
        <f>'VSWF Data'!G22</f>
        <v>9.5999999999999974E-2</v>
      </c>
      <c r="AO13" s="93">
        <f>'VSWF Data'!F22</f>
        <v>1495</v>
      </c>
      <c r="AP13" s="83" t="str">
        <f>CONCATENATE('VSWF Data'!O22,'VSWF Data'!Q22,'VSWF Data'!P22)</f>
        <v>16.21-51.5</v>
      </c>
      <c r="AQ13" s="98">
        <f>'VSWF Data'!H22</f>
        <v>0.16099999999999998</v>
      </c>
      <c r="AR13" s="83" t="str">
        <f>CONCATENATE('VSWF Data'!I29,'VSWF Data'!Q29,'VSWF Data'!J29)</f>
        <v>1-8</v>
      </c>
      <c r="AS13" s="83" t="str">
        <f>CONCATENATE('VSWF Data'!K29,'VSWF Data'!Q29,'VSWF Data'!L29)</f>
        <v>0.37-17.63</v>
      </c>
      <c r="AT13" s="93">
        <f>'VSWF Data'!E29</f>
        <v>1008.75</v>
      </c>
      <c r="AU13" s="83" t="str">
        <f>CONCATENATE('VSWF Data'!M29,'VSWF Data'!Q29,'VSWF Data'!N29)</f>
        <v>37.69-70.68</v>
      </c>
      <c r="AV13" s="98">
        <f>'VSWF Data'!G29</f>
        <v>0.15400000000000003</v>
      </c>
      <c r="AW13" s="93">
        <f>'VSWF Data'!F29</f>
        <v>1345</v>
      </c>
      <c r="AX13" s="83" t="str">
        <f>CONCATENATE('VSWF Data'!O29,'VSWF Data'!Q29,'VSWF Data'!P29)</f>
        <v>39.93-82.6</v>
      </c>
      <c r="AY13" s="98">
        <f>'VSWF Data'!H29</f>
        <v>0.249</v>
      </c>
    </row>
    <row r="14" spans="2:51" s="78" customFormat="1" x14ac:dyDescent="0.25">
      <c r="B14" s="82" t="s">
        <v>284</v>
      </c>
      <c r="C14" s="82" t="s">
        <v>338</v>
      </c>
      <c r="D14" s="83" t="s">
        <v>436</v>
      </c>
      <c r="E14" s="83" t="s">
        <v>287</v>
      </c>
      <c r="F14" s="83" t="s">
        <v>462</v>
      </c>
      <c r="G14" s="83" t="s">
        <v>462</v>
      </c>
      <c r="H14" s="83" t="s">
        <v>290</v>
      </c>
      <c r="I14" s="83" t="s">
        <v>294</v>
      </c>
      <c r="J14" s="83" t="s">
        <v>299</v>
      </c>
      <c r="K14" s="83" t="s">
        <v>307</v>
      </c>
      <c r="L14" s="83" t="s">
        <v>313</v>
      </c>
      <c r="M14" s="83" t="s">
        <v>318</v>
      </c>
      <c r="N14" s="83" t="s">
        <v>276</v>
      </c>
      <c r="O14" s="83" t="s">
        <v>275</v>
      </c>
      <c r="P14" s="83">
        <v>1660</v>
      </c>
      <c r="Q14" s="83">
        <v>1455</v>
      </c>
      <c r="R14" s="83">
        <v>2035</v>
      </c>
      <c r="S14" s="83">
        <v>1465</v>
      </c>
      <c r="T14" s="83" t="str">
        <f>CONCATENATE('VPWF Data'!I23,'VPWF Data'!Q23,'VPWF Data'!J23)</f>
        <v>0.5-10</v>
      </c>
      <c r="U14" s="83" t="str">
        <f>CONCATENATE('VPWF Data'!K23,'VPWF Data'!Q23,'VPWF Data'!L23)</f>
        <v>0.07-20.91</v>
      </c>
      <c r="V14" s="93">
        <f>'VPWF Data'!E23</f>
        <v>1245</v>
      </c>
      <c r="W14" s="83" t="str">
        <f>CONCATENATE('VPWF Data'!M23,'VPWF Data'!Q23,'VPWF Data'!N23)</f>
        <v>15.23-45.75</v>
      </c>
      <c r="X14" s="83">
        <f>'VPWF Data'!G23</f>
        <v>0.10099999999999998</v>
      </c>
      <c r="Y14" s="93">
        <f>'VPWF Data'!F23</f>
        <v>1660</v>
      </c>
      <c r="Z14" s="83" t="str">
        <f>CONCATENATE('VPWF Data'!O23,'VPWF Data'!Q23,'VPWF Data'!P23)</f>
        <v>15.81-53.38</v>
      </c>
      <c r="AA14" s="83">
        <f>'VPWF Data'!H23</f>
        <v>0.16999999999999998</v>
      </c>
      <c r="AB14" s="83" t="str">
        <f>CONCATENATE('VPWF Data'!I30,'VPWF Data'!Q30,'VPWF Data'!J30)</f>
        <v>1-10</v>
      </c>
      <c r="AC14" s="83" t="str">
        <f>CONCATENATE('VPWF Data'!K30,'VPWF Data'!Q30,'VPWF Data'!L30)</f>
        <v>0.33-24.92</v>
      </c>
      <c r="AD14" s="93">
        <f>'VPWF Data'!E30</f>
        <v>1091.25</v>
      </c>
      <c r="AE14" s="83" t="str">
        <f>CONCATENATE('VPWF Data'!M30,'VPWF Data'!Q30,'VPWF Data'!N30)</f>
        <v>36.66-72.05</v>
      </c>
      <c r="AF14" s="98">
        <f>'VPWF Data'!G30</f>
        <v>0.15100000000000002</v>
      </c>
      <c r="AG14" s="93">
        <f>'VPWF Data'!F30</f>
        <v>1455</v>
      </c>
      <c r="AH14" s="83" t="str">
        <f>CONCATENATE('VPWF Data'!O30,'VPWF Data'!Q30,'VPWF Data'!P30)</f>
        <v>38.71-84.41</v>
      </c>
      <c r="AI14" s="98">
        <f>'VPWF Data'!H30</f>
        <v>0.246</v>
      </c>
      <c r="AJ14" s="83" t="str">
        <f>CONCATENATE('VSWF Data'!I23,'VSWF Data'!Q23,'VSWF Data'!J23)</f>
        <v>0.5-8</v>
      </c>
      <c r="AK14" s="83" t="str">
        <f>CONCATENATE('VSWF Data'!K23,'VSWF Data'!Q23,'VSWF Data'!L23)</f>
        <v>0.08-14.12</v>
      </c>
      <c r="AL14" s="93">
        <f>'VSWF Data'!E23</f>
        <v>1526.25</v>
      </c>
      <c r="AM14" s="83" t="str">
        <f>CONCATENATE('VSWF Data'!M23,'VSWF Data'!Q23,'VSWF Data'!N23)</f>
        <v>17.64-57.39</v>
      </c>
      <c r="AN14" s="98">
        <f>'VSWF Data'!G23</f>
        <v>0.14600000000000002</v>
      </c>
      <c r="AO14" s="93">
        <f>'VSWF Data'!F23</f>
        <v>2035</v>
      </c>
      <c r="AP14" s="83" t="str">
        <f>CONCATENATE('VSWF Data'!O23,'VSWF Data'!Q23,'VSWF Data'!P23)</f>
        <v>18.21-66.59</v>
      </c>
      <c r="AQ14" s="98">
        <f>'VSWF Data'!H23</f>
        <v>0.249</v>
      </c>
      <c r="AR14" s="83" t="str">
        <f>CONCATENATE('VSWF Data'!I30,'VSWF Data'!Q30,'VSWF Data'!J30)</f>
        <v>1.5-8</v>
      </c>
      <c r="AS14" s="83" t="str">
        <f>CONCATENATE('VSWF Data'!K30,'VSWF Data'!Q30,'VSWF Data'!L30)</f>
        <v>0.76-17.37</v>
      </c>
      <c r="AT14" s="93">
        <f>'VSWF Data'!E30</f>
        <v>1098.75</v>
      </c>
      <c r="AU14" s="83" t="str">
        <f>CONCATENATE('VSWF Data'!M30,'VSWF Data'!Q30,'VSWF Data'!N30)</f>
        <v>52.53-80.67</v>
      </c>
      <c r="AV14" s="98">
        <f>'VSWF Data'!G30</f>
        <v>0.15600000000000003</v>
      </c>
      <c r="AW14" s="93">
        <f>'VSWF Data'!F30</f>
        <v>1465</v>
      </c>
      <c r="AX14" s="83" t="str">
        <f>CONCATENATE('VSWF Data'!O30,'VSWF Data'!Q30,'VSWF Data'!P30)</f>
        <v>56.9-94.78</v>
      </c>
      <c r="AY14" s="98">
        <f>'VSWF Data'!H30</f>
        <v>0.252</v>
      </c>
    </row>
    <row r="15" spans="2:51" s="78" customFormat="1" x14ac:dyDescent="0.25">
      <c r="B15" s="82" t="s">
        <v>285</v>
      </c>
      <c r="C15" s="82" t="s">
        <v>338</v>
      </c>
      <c r="D15" s="83" t="s">
        <v>437</v>
      </c>
      <c r="E15" s="83" t="s">
        <v>446</v>
      </c>
      <c r="F15" s="83" t="s">
        <v>463</v>
      </c>
      <c r="G15" s="83" t="s">
        <v>463</v>
      </c>
      <c r="H15" s="83" t="s">
        <v>291</v>
      </c>
      <c r="I15" s="83" t="s">
        <v>295</v>
      </c>
      <c r="J15" s="83" t="s">
        <v>300</v>
      </c>
      <c r="K15" s="83" t="s">
        <v>308</v>
      </c>
      <c r="L15" s="83" t="s">
        <v>314</v>
      </c>
      <c r="M15" s="83" t="s">
        <v>319</v>
      </c>
      <c r="N15" s="83" t="s">
        <v>274</v>
      </c>
      <c r="O15" s="83" t="s">
        <v>275</v>
      </c>
      <c r="P15" s="83">
        <v>1950</v>
      </c>
      <c r="Q15" s="83">
        <v>1845</v>
      </c>
      <c r="R15" s="83">
        <v>2480</v>
      </c>
      <c r="S15" s="83">
        <v>2090</v>
      </c>
      <c r="T15" s="83" t="str">
        <f>CONCATENATE('VPWF Data'!I24,'VPWF Data'!Q24,'VPWF Data'!J24)</f>
        <v>0.5-7</v>
      </c>
      <c r="U15" s="83" t="str">
        <f>CONCATENATE('VPWF Data'!K24,'VPWF Data'!Q24,'VPWF Data'!L24)</f>
        <v>0.1-11.03</v>
      </c>
      <c r="V15" s="93">
        <f>'VPWF Data'!E24</f>
        <v>1462.5</v>
      </c>
      <c r="W15" s="83" t="str">
        <f>CONCATENATE('VPWF Data'!M24,'VPWF Data'!Q24,'VPWF Data'!N24)</f>
        <v>18.7-51.14</v>
      </c>
      <c r="X15" s="83">
        <f>'VPWF Data'!G24</f>
        <v>8.3000000000000018E-2</v>
      </c>
      <c r="Y15" s="93">
        <f>'VPWF Data'!F24</f>
        <v>1950</v>
      </c>
      <c r="Z15" s="83" t="str">
        <f>CONCATENATE('VPWF Data'!O24,'VPWF Data'!Q24,'VPWF Data'!P24)</f>
        <v>19.42-59.24</v>
      </c>
      <c r="AA15" s="83">
        <f>'VPWF Data'!H24</f>
        <v>0.14000000000000001</v>
      </c>
      <c r="AB15" s="83" t="str">
        <f>CONCATENATE('VPWF Data'!I31,'VPWF Data'!Q31,'VPWF Data'!J31)</f>
        <v>1-7</v>
      </c>
      <c r="AC15" s="83" t="str">
        <f>CONCATENATE('VPWF Data'!K31,'VPWF Data'!Q31,'VPWF Data'!L31)</f>
        <v>0.62-18.91</v>
      </c>
      <c r="AD15" s="93">
        <f>'VPWF Data'!E31</f>
        <v>1383.75</v>
      </c>
      <c r="AE15" s="83" t="str">
        <f>CONCATENATE('VPWF Data'!M31,'VPWF Data'!Q31,'VPWF Data'!N31)</f>
        <v>42.12-83.55</v>
      </c>
      <c r="AF15" s="98">
        <f>'VPWF Data'!G31</f>
        <v>0.14400000000000002</v>
      </c>
      <c r="AG15" s="93">
        <f>'VPWF Data'!F31</f>
        <v>1845</v>
      </c>
      <c r="AH15" s="83" t="str">
        <f>CONCATENATE('VPWF Data'!O31,'VPWF Data'!Q31,'VPWF Data'!P31)</f>
        <v>44.11-96.53</v>
      </c>
      <c r="AI15" s="98">
        <f>'VPWF Data'!H31</f>
        <v>0.23399999999999999</v>
      </c>
      <c r="AJ15" s="83" t="str">
        <f>CONCATENATE('VSWF Data'!I24,'VSWF Data'!Q24,'VSWF Data'!J24)</f>
        <v>0.5-6</v>
      </c>
      <c r="AK15" s="83" t="str">
        <f>CONCATENATE('VSWF Data'!K24,'VSWF Data'!Q24,'VSWF Data'!L24)</f>
        <v>0.11-9.16</v>
      </c>
      <c r="AL15" s="93">
        <f>'VSWF Data'!E24</f>
        <v>1860</v>
      </c>
      <c r="AM15" s="83" t="str">
        <f>CONCATENATE('VSWF Data'!M24,'VSWF Data'!Q24,'VSWF Data'!N24)</f>
        <v>21.36-65.05</v>
      </c>
      <c r="AN15" s="98">
        <f>'VSWF Data'!G24</f>
        <v>0.11099999999999999</v>
      </c>
      <c r="AO15" s="93">
        <f>'VSWF Data'!F24</f>
        <v>2480</v>
      </c>
      <c r="AP15" s="83" t="str">
        <f>CONCATENATE('VSWF Data'!O24,'VSWF Data'!Q24,'VSWF Data'!P24)</f>
        <v>22.02-75.02</v>
      </c>
      <c r="AQ15" s="98">
        <f>'VSWF Data'!H24</f>
        <v>0.187</v>
      </c>
      <c r="AR15" s="83" t="str">
        <f>CONCATENATE('VSWF Data'!I31,'VSWF Data'!Q31,'VSWF Data'!J31)</f>
        <v>1.5-6</v>
      </c>
      <c r="AS15" s="83" t="str">
        <f>CONCATENATE('VSWF Data'!K31,'VSWF Data'!Q31,'VSWF Data'!L31)</f>
        <v>1.46-16.72</v>
      </c>
      <c r="AT15" s="93">
        <f>'VSWF Data'!E31</f>
        <v>1567.5</v>
      </c>
      <c r="AU15" s="83" t="str">
        <f>CONCATENATE('VSWF Data'!M31,'VSWF Data'!Q31,'VSWF Data'!N31)</f>
        <v>62.21-99.54</v>
      </c>
      <c r="AV15" s="98">
        <f>'VSWF Data'!G31</f>
        <v>0.15600000000000003</v>
      </c>
      <c r="AW15" s="93">
        <f>'VSWF Data'!F31</f>
        <v>2090</v>
      </c>
      <c r="AX15" s="83" t="str">
        <f>CONCATENATE('VSWF Data'!O31,'VSWF Data'!Q31,'VSWF Data'!P31)</f>
        <v>66.15-114.03</v>
      </c>
      <c r="AY15" s="98">
        <f>'VSWF Data'!H31</f>
        <v>0.251</v>
      </c>
    </row>
    <row r="16" spans="2:51" x14ac:dyDescent="0.25">
      <c r="B16">
        <v>1</v>
      </c>
      <c r="C16" s="78">
        <f>B16+1</f>
        <v>2</v>
      </c>
      <c r="D16" s="78">
        <f t="shared" ref="D16:AY16" si="0">C16+1</f>
        <v>3</v>
      </c>
      <c r="E16" s="78">
        <f t="shared" si="0"/>
        <v>4</v>
      </c>
      <c r="F16" s="78">
        <f t="shared" si="0"/>
        <v>5</v>
      </c>
      <c r="G16" s="78">
        <f t="shared" si="0"/>
        <v>6</v>
      </c>
      <c r="H16" s="78">
        <f t="shared" si="0"/>
        <v>7</v>
      </c>
      <c r="I16" s="78">
        <f t="shared" si="0"/>
        <v>8</v>
      </c>
      <c r="J16" s="78">
        <f t="shared" si="0"/>
        <v>9</v>
      </c>
      <c r="K16" s="78">
        <f t="shared" si="0"/>
        <v>10</v>
      </c>
      <c r="L16" s="78">
        <f t="shared" si="0"/>
        <v>11</v>
      </c>
      <c r="M16" s="78">
        <f t="shared" si="0"/>
        <v>12</v>
      </c>
      <c r="N16" s="78">
        <f t="shared" si="0"/>
        <v>13</v>
      </c>
      <c r="O16" s="78">
        <f t="shared" si="0"/>
        <v>14</v>
      </c>
      <c r="P16" s="78">
        <f t="shared" si="0"/>
        <v>15</v>
      </c>
      <c r="Q16" s="78">
        <f t="shared" si="0"/>
        <v>16</v>
      </c>
      <c r="R16" s="78">
        <f t="shared" si="0"/>
        <v>17</v>
      </c>
      <c r="S16" s="78">
        <f t="shared" si="0"/>
        <v>18</v>
      </c>
      <c r="T16" s="78">
        <f t="shared" si="0"/>
        <v>19</v>
      </c>
      <c r="U16" s="78">
        <f t="shared" si="0"/>
        <v>20</v>
      </c>
      <c r="V16" s="78">
        <f t="shared" si="0"/>
        <v>21</v>
      </c>
      <c r="W16" s="78">
        <f t="shared" si="0"/>
        <v>22</v>
      </c>
      <c r="X16" s="78">
        <f t="shared" si="0"/>
        <v>23</v>
      </c>
      <c r="Y16" s="78">
        <f t="shared" si="0"/>
        <v>24</v>
      </c>
      <c r="Z16" s="78">
        <f t="shared" si="0"/>
        <v>25</v>
      </c>
      <c r="AA16" s="78">
        <f t="shared" si="0"/>
        <v>26</v>
      </c>
      <c r="AB16" s="78">
        <f t="shared" si="0"/>
        <v>27</v>
      </c>
      <c r="AC16" s="78">
        <f t="shared" si="0"/>
        <v>28</v>
      </c>
      <c r="AD16" s="78">
        <f t="shared" si="0"/>
        <v>29</v>
      </c>
      <c r="AE16" s="78">
        <f t="shared" si="0"/>
        <v>30</v>
      </c>
      <c r="AF16" s="78">
        <f t="shared" si="0"/>
        <v>31</v>
      </c>
      <c r="AG16" s="78">
        <f t="shared" si="0"/>
        <v>32</v>
      </c>
      <c r="AH16" s="78">
        <f t="shared" si="0"/>
        <v>33</v>
      </c>
      <c r="AI16" s="78">
        <f t="shared" si="0"/>
        <v>34</v>
      </c>
      <c r="AJ16" s="78">
        <f t="shared" si="0"/>
        <v>35</v>
      </c>
      <c r="AK16" s="78">
        <f t="shared" si="0"/>
        <v>36</v>
      </c>
      <c r="AL16" s="78">
        <f t="shared" si="0"/>
        <v>37</v>
      </c>
      <c r="AM16" s="78">
        <f t="shared" si="0"/>
        <v>38</v>
      </c>
      <c r="AN16" s="78">
        <f t="shared" si="0"/>
        <v>39</v>
      </c>
      <c r="AO16" s="78">
        <f t="shared" si="0"/>
        <v>40</v>
      </c>
      <c r="AP16" s="78">
        <f t="shared" si="0"/>
        <v>41</v>
      </c>
      <c r="AQ16" s="78">
        <f t="shared" si="0"/>
        <v>42</v>
      </c>
      <c r="AR16" s="78">
        <f t="shared" si="0"/>
        <v>43</v>
      </c>
      <c r="AS16" s="78">
        <f t="shared" si="0"/>
        <v>44</v>
      </c>
      <c r="AT16" s="78">
        <f t="shared" si="0"/>
        <v>45</v>
      </c>
      <c r="AU16" s="78">
        <f t="shared" si="0"/>
        <v>46</v>
      </c>
      <c r="AV16" s="78">
        <f t="shared" si="0"/>
        <v>47</v>
      </c>
      <c r="AW16" s="78">
        <f t="shared" si="0"/>
        <v>48</v>
      </c>
      <c r="AX16" s="78">
        <f t="shared" si="0"/>
        <v>49</v>
      </c>
      <c r="AY16" s="78">
        <f t="shared" si="0"/>
        <v>50</v>
      </c>
    </row>
    <row r="17" spans="2:41" x14ac:dyDescent="0.25">
      <c r="D17" s="151"/>
      <c r="E17" s="15"/>
      <c r="F17" s="15"/>
      <c r="G17" s="15"/>
      <c r="H17" s="79" t="s">
        <v>296</v>
      </c>
      <c r="Q17" t="s">
        <v>320</v>
      </c>
    </row>
    <row r="18" spans="2:41" x14ac:dyDescent="0.25">
      <c r="B18" s="111" t="s">
        <v>426</v>
      </c>
      <c r="D18" s="151"/>
      <c r="E18" s="15"/>
      <c r="F18" s="15"/>
      <c r="G18" s="15"/>
      <c r="H18" s="79" t="s">
        <v>292</v>
      </c>
      <c r="Q18" t="s">
        <v>321</v>
      </c>
      <c r="V18" t="s">
        <v>351</v>
      </c>
      <c r="Y18" s="78" t="s">
        <v>350</v>
      </c>
      <c r="AK18" s="78" t="s">
        <v>351</v>
      </c>
      <c r="AO18" s="78" t="s">
        <v>350</v>
      </c>
    </row>
    <row r="19" spans="2:41" x14ac:dyDescent="0.25">
      <c r="B19" s="119" t="s">
        <v>427</v>
      </c>
      <c r="E19" s="15"/>
      <c r="F19" s="15"/>
      <c r="G19" s="15"/>
      <c r="H19" t="s">
        <v>309</v>
      </c>
      <c r="Q19" t="s">
        <v>322</v>
      </c>
      <c r="V19" t="s">
        <v>324</v>
      </c>
      <c r="Y19" s="78" t="s">
        <v>324</v>
      </c>
      <c r="AK19" s="78" t="s">
        <v>325</v>
      </c>
      <c r="AO19" s="78" t="s">
        <v>325</v>
      </c>
    </row>
    <row r="20" spans="2:41" x14ac:dyDescent="0.25">
      <c r="B20" s="7" t="s">
        <v>258</v>
      </c>
      <c r="C20" s="7"/>
      <c r="E20" s="15"/>
      <c r="F20" s="15"/>
      <c r="G20" s="15"/>
      <c r="H20" t="s">
        <v>297</v>
      </c>
      <c r="V20" t="s">
        <v>325</v>
      </c>
      <c r="Y20" s="78" t="s">
        <v>325</v>
      </c>
      <c r="AK20" t="s">
        <v>494</v>
      </c>
      <c r="AO20" s="78" t="s">
        <v>494</v>
      </c>
    </row>
    <row r="21" spans="2:41" x14ac:dyDescent="0.25">
      <c r="B21" s="112" t="s">
        <v>259</v>
      </c>
      <c r="C21" s="7"/>
      <c r="E21" s="15"/>
      <c r="F21" s="15"/>
      <c r="G21" s="15"/>
      <c r="H21" s="78" t="s">
        <v>315</v>
      </c>
      <c r="AK21" s="78" t="s">
        <v>493</v>
      </c>
      <c r="AO21" s="78" t="s">
        <v>493</v>
      </c>
    </row>
    <row r="22" spans="2:41" x14ac:dyDescent="0.25">
      <c r="B22" s="7"/>
      <c r="C22" s="7"/>
      <c r="E22" s="15"/>
      <c r="F22" s="15"/>
      <c r="G22" s="15"/>
      <c r="AK22" t="s">
        <v>495</v>
      </c>
      <c r="AO22" s="78" t="s">
        <v>495</v>
      </c>
    </row>
    <row r="23" spans="2:41" x14ac:dyDescent="0.25">
      <c r="B23" s="119" t="s">
        <v>354</v>
      </c>
      <c r="C23" s="7"/>
      <c r="E23" s="15"/>
      <c r="F23" s="15"/>
      <c r="G23" s="15"/>
    </row>
    <row r="24" spans="2:41" x14ac:dyDescent="0.25">
      <c r="B24" s="153" t="s">
        <v>281</v>
      </c>
      <c r="C24" s="7"/>
      <c r="E24" s="15"/>
      <c r="F24" s="15"/>
      <c r="G24" s="15"/>
      <c r="H24" t="s">
        <v>304</v>
      </c>
    </row>
    <row r="25" spans="2:41" x14ac:dyDescent="0.25">
      <c r="B25" s="153" t="s">
        <v>282</v>
      </c>
      <c r="C25" s="7"/>
      <c r="E25" s="15"/>
      <c r="F25" s="15"/>
      <c r="G25" s="15"/>
    </row>
    <row r="26" spans="2:41" x14ac:dyDescent="0.25">
      <c r="B26" s="153" t="s">
        <v>283</v>
      </c>
      <c r="D26" s="151"/>
      <c r="E26" s="15"/>
      <c r="F26" s="15"/>
      <c r="G26" s="15"/>
    </row>
    <row r="27" spans="2:41" x14ac:dyDescent="0.25">
      <c r="B27" s="153" t="s">
        <v>284</v>
      </c>
    </row>
    <row r="28" spans="2:41" x14ac:dyDescent="0.25">
      <c r="B28" s="153" t="s">
        <v>285</v>
      </c>
    </row>
    <row r="29" spans="2:41" x14ac:dyDescent="0.25">
      <c r="B29" s="153" t="s">
        <v>286</v>
      </c>
    </row>
    <row r="32" spans="2:41" x14ac:dyDescent="0.25">
      <c r="B32" s="119" t="s">
        <v>336</v>
      </c>
    </row>
    <row r="33" spans="2:2" x14ac:dyDescent="0.25">
      <c r="B33" s="152" t="s">
        <v>337</v>
      </c>
    </row>
    <row r="34" spans="2:2" x14ac:dyDescent="0.25">
      <c r="B34" s="152" t="s">
        <v>338</v>
      </c>
    </row>
    <row r="36" spans="2:2" x14ac:dyDescent="0.25">
      <c r="B36" t="s">
        <v>454</v>
      </c>
    </row>
    <row r="37" spans="2:2" x14ac:dyDescent="0.25">
      <c r="B37" t="s">
        <v>455</v>
      </c>
    </row>
    <row r="38" spans="2:2" x14ac:dyDescent="0.25">
      <c r="B38" t="s">
        <v>452</v>
      </c>
    </row>
    <row r="39" spans="2:2" x14ac:dyDescent="0.25">
      <c r="B39" t="s">
        <v>453</v>
      </c>
    </row>
    <row r="41" spans="2:2" x14ac:dyDescent="0.25">
      <c r="B41" s="78" t="s">
        <v>456</v>
      </c>
    </row>
    <row r="42" spans="2:2" x14ac:dyDescent="0.25">
      <c r="B42" s="78" t="s">
        <v>455</v>
      </c>
    </row>
    <row r="43" spans="2:2" x14ac:dyDescent="0.25">
      <c r="B43" t="s">
        <v>452</v>
      </c>
    </row>
  </sheetData>
  <mergeCells count="19">
    <mergeCell ref="D3:D5"/>
    <mergeCell ref="E3:E5"/>
    <mergeCell ref="F3:F5"/>
    <mergeCell ref="G3:G5"/>
    <mergeCell ref="N3:O3"/>
    <mergeCell ref="N2:O2"/>
    <mergeCell ref="T2:AI2"/>
    <mergeCell ref="AJ2:AY2"/>
    <mergeCell ref="H3:J3"/>
    <mergeCell ref="K3:M3"/>
    <mergeCell ref="H2:M2"/>
    <mergeCell ref="P3:Q3"/>
    <mergeCell ref="R3:S3"/>
    <mergeCell ref="P2:S2"/>
    <mergeCell ref="T1:AY1"/>
    <mergeCell ref="AJ3:AQ3"/>
    <mergeCell ref="AR3:AY3"/>
    <mergeCell ref="T3:AA3"/>
    <mergeCell ref="AB3:AI3"/>
  </mergeCells>
  <phoneticPr fontId="12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5B1E3-0BBB-415E-B670-52D16E4F1426}">
  <dimension ref="A1:AM85"/>
  <sheetViews>
    <sheetView workbookViewId="0">
      <selection activeCell="F3" sqref="F3"/>
    </sheetView>
  </sheetViews>
  <sheetFormatPr defaultRowHeight="15" x14ac:dyDescent="0.25"/>
  <cols>
    <col min="1" max="1" width="15.140625" bestFit="1" customWidth="1"/>
    <col min="3" max="3" width="11.140625" style="78" bestFit="1" customWidth="1"/>
    <col min="4" max="4" width="9.5703125" style="78" bestFit="1" customWidth="1"/>
    <col min="7" max="7" width="7.5703125" style="78" bestFit="1" customWidth="1"/>
    <col min="8" max="8" width="7.5703125" style="78" customWidth="1"/>
    <col min="9" max="10" width="11.5703125" bestFit="1" customWidth="1"/>
    <col min="11" max="11" width="6.7109375" bestFit="1" customWidth="1"/>
    <col min="12" max="12" width="6.7109375" style="78" bestFit="1" customWidth="1"/>
    <col min="13" max="13" width="9.85546875" bestFit="1" customWidth="1"/>
    <col min="14" max="14" width="9.85546875" style="78" bestFit="1" customWidth="1"/>
    <col min="15" max="22" width="9.85546875" style="78" customWidth="1"/>
    <col min="25" max="25" width="17.5703125" style="78" bestFit="1" customWidth="1"/>
    <col min="26" max="26" width="8" style="78" bestFit="1" customWidth="1"/>
    <col min="27" max="27" width="11.140625" style="78" bestFit="1" customWidth="1"/>
    <col min="28" max="28" width="7.5703125" bestFit="1" customWidth="1"/>
    <col min="29" max="29" width="9.5703125" bestFit="1" customWidth="1"/>
    <col min="30" max="30" width="10.140625" bestFit="1" customWidth="1"/>
    <col min="31" max="31" width="6.5703125" bestFit="1" customWidth="1"/>
    <col min="32" max="32" width="6" style="78" bestFit="1" customWidth="1"/>
    <col min="33" max="33" width="8.42578125" bestFit="1" customWidth="1"/>
    <col min="34" max="34" width="7.7109375" bestFit="1" customWidth="1"/>
    <col min="35" max="35" width="15" bestFit="1" customWidth="1"/>
    <col min="39" max="39" width="11.140625" bestFit="1" customWidth="1"/>
  </cols>
  <sheetData>
    <row r="1" spans="1:39" s="78" customFormat="1" x14ac:dyDescent="0.25">
      <c r="A1" s="88" t="s">
        <v>372</v>
      </c>
      <c r="M1" s="16" t="s">
        <v>367</v>
      </c>
      <c r="N1" s="16" t="s">
        <v>368</v>
      </c>
      <c r="O1" s="16" t="s">
        <v>369</v>
      </c>
      <c r="P1" s="16" t="s">
        <v>370</v>
      </c>
      <c r="Q1" s="16"/>
      <c r="R1" s="16"/>
      <c r="S1" s="16"/>
      <c r="T1" s="16"/>
      <c r="U1" s="16"/>
      <c r="V1" s="16"/>
      <c r="Y1" s="88" t="s">
        <v>376</v>
      </c>
    </row>
    <row r="2" spans="1:39" x14ac:dyDescent="0.25">
      <c r="A2" s="86" t="s">
        <v>326</v>
      </c>
      <c r="B2" s="86" t="s">
        <v>334</v>
      </c>
      <c r="C2" s="86" t="s">
        <v>336</v>
      </c>
      <c r="D2" s="86" t="s">
        <v>335</v>
      </c>
      <c r="E2" s="86" t="s">
        <v>361</v>
      </c>
      <c r="F2" s="86" t="s">
        <v>363</v>
      </c>
      <c r="G2" s="86" t="s">
        <v>362</v>
      </c>
      <c r="H2" s="86" t="s">
        <v>364</v>
      </c>
      <c r="I2" s="86" t="s">
        <v>356</v>
      </c>
      <c r="J2" s="86" t="s">
        <v>357</v>
      </c>
      <c r="K2" s="86" t="s">
        <v>355</v>
      </c>
      <c r="L2" s="86" t="s">
        <v>358</v>
      </c>
      <c r="M2" s="86" t="s">
        <v>359</v>
      </c>
      <c r="N2" s="86" t="s">
        <v>360</v>
      </c>
      <c r="O2" s="86" t="s">
        <v>365</v>
      </c>
      <c r="P2" s="86" t="s">
        <v>366</v>
      </c>
      <c r="Q2" s="7"/>
      <c r="R2" s="7"/>
      <c r="S2" s="7"/>
      <c r="T2" s="7"/>
      <c r="U2" s="7"/>
      <c r="V2" s="7"/>
      <c r="Y2" s="86" t="s">
        <v>326</v>
      </c>
      <c r="Z2" s="86" t="s">
        <v>334</v>
      </c>
      <c r="AA2" s="86" t="s">
        <v>336</v>
      </c>
      <c r="AB2" s="86" t="s">
        <v>11</v>
      </c>
      <c r="AC2" s="86" t="s">
        <v>335</v>
      </c>
      <c r="AD2" s="86" t="s">
        <v>328</v>
      </c>
      <c r="AE2" s="86" t="s">
        <v>329</v>
      </c>
      <c r="AF2" s="86" t="s">
        <v>20</v>
      </c>
      <c r="AG2" s="86" t="s">
        <v>330</v>
      </c>
      <c r="AH2" s="90" t="s">
        <v>352</v>
      </c>
      <c r="AI2" s="90" t="s">
        <v>353</v>
      </c>
    </row>
    <row r="3" spans="1:39" x14ac:dyDescent="0.25">
      <c r="A3" s="86" t="s">
        <v>327</v>
      </c>
      <c r="B3" s="86" t="s">
        <v>281</v>
      </c>
      <c r="C3" s="86" t="s">
        <v>337</v>
      </c>
      <c r="D3" s="86">
        <v>1</v>
      </c>
      <c r="E3" s="87">
        <f>'FP Background Data'!P6*0.75</f>
        <v>333.75</v>
      </c>
      <c r="F3" s="87">
        <f>'FP Background Data'!P6</f>
        <v>445</v>
      </c>
      <c r="G3" s="96">
        <f t="shared" ref="G3:G8" si="0">AF3</f>
        <v>1.2000000000000011E-2</v>
      </c>
      <c r="H3" s="96">
        <f t="shared" ref="H3:H8" si="1">AF15</f>
        <v>1.9000000000000017E-2</v>
      </c>
      <c r="I3" s="97">
        <v>0.5</v>
      </c>
      <c r="J3" s="97">
        <v>5</v>
      </c>
      <c r="K3" s="97">
        <f>AE3</f>
        <v>0.21</v>
      </c>
      <c r="L3" s="97">
        <f>AE9</f>
        <v>13.02</v>
      </c>
      <c r="M3" s="97">
        <f>AG3</f>
        <v>13.09</v>
      </c>
      <c r="N3" s="97">
        <f>AG9</f>
        <v>20.43</v>
      </c>
      <c r="O3" s="97">
        <f>AG15</f>
        <v>14.23</v>
      </c>
      <c r="P3" s="97">
        <f>AG21</f>
        <v>23.58</v>
      </c>
      <c r="Q3" s="7" t="s">
        <v>49</v>
      </c>
      <c r="R3" s="7"/>
      <c r="S3" s="7"/>
      <c r="T3" s="7"/>
      <c r="U3" s="7"/>
      <c r="V3" s="7"/>
      <c r="Y3" s="86" t="s">
        <v>327</v>
      </c>
      <c r="Z3" s="86" t="s">
        <v>281</v>
      </c>
      <c r="AA3" s="86" t="s">
        <v>337</v>
      </c>
      <c r="AB3" s="87">
        <f t="shared" ref="AB3:AB8" si="2">E3</f>
        <v>333.75</v>
      </c>
      <c r="AC3" s="86">
        <v>1</v>
      </c>
      <c r="AD3" s="86">
        <v>0.5</v>
      </c>
      <c r="AE3" s="100">
        <v>0.21</v>
      </c>
      <c r="AF3" s="86">
        <f t="shared" ref="AF3:AF50" si="3">AH3-AI3</f>
        <v>1.2000000000000011E-2</v>
      </c>
      <c r="AG3" s="100">
        <v>13.09</v>
      </c>
      <c r="AH3" s="91">
        <v>0.26200000000000001</v>
      </c>
      <c r="AI3" s="91">
        <v>0.25</v>
      </c>
    </row>
    <row r="4" spans="1:39" x14ac:dyDescent="0.25">
      <c r="A4" s="86" t="s">
        <v>331</v>
      </c>
      <c r="B4" s="86" t="s">
        <v>282</v>
      </c>
      <c r="C4" s="86" t="s">
        <v>337</v>
      </c>
      <c r="D4" s="86">
        <v>1</v>
      </c>
      <c r="E4" s="87">
        <f>'FP Background Data'!P7*0.75</f>
        <v>787.5</v>
      </c>
      <c r="F4" s="87">
        <f>'FP Background Data'!P7</f>
        <v>1050</v>
      </c>
      <c r="G4" s="96">
        <f t="shared" si="0"/>
        <v>4.4999999999999984E-2</v>
      </c>
      <c r="H4" s="96">
        <f t="shared" si="1"/>
        <v>7.400000000000001E-2</v>
      </c>
      <c r="I4" s="97">
        <v>0.5</v>
      </c>
      <c r="J4" s="97">
        <v>10</v>
      </c>
      <c r="K4" s="97">
        <f t="shared" ref="K4:K8" si="4">AE4</f>
        <v>7.0000000000000007E-2</v>
      </c>
      <c r="L4" s="97">
        <f t="shared" ref="L4:L8" si="5">AE10</f>
        <v>20.9</v>
      </c>
      <c r="M4" s="97">
        <f t="shared" ref="M4:M8" si="6">AG4</f>
        <v>14.21</v>
      </c>
      <c r="N4" s="97">
        <f t="shared" ref="N4:N8" si="7">AG10</f>
        <v>35.909999999999997</v>
      </c>
      <c r="O4" s="97">
        <f t="shared" ref="O4:O8" si="8">AG16</f>
        <v>14.87</v>
      </c>
      <c r="P4" s="97">
        <f t="shared" ref="P4:P8" si="9">AG22</f>
        <v>41.78</v>
      </c>
      <c r="Q4" s="7" t="s">
        <v>49</v>
      </c>
      <c r="R4" s="7"/>
      <c r="S4" s="7"/>
      <c r="T4" s="7"/>
      <c r="U4" s="7"/>
      <c r="V4" s="7"/>
      <c r="Y4" s="86" t="s">
        <v>331</v>
      </c>
      <c r="Z4" s="86" t="s">
        <v>282</v>
      </c>
      <c r="AA4" s="86" t="s">
        <v>337</v>
      </c>
      <c r="AB4" s="87">
        <f t="shared" si="2"/>
        <v>787.5</v>
      </c>
      <c r="AC4" s="86">
        <v>1</v>
      </c>
      <c r="AD4" s="86">
        <v>0.5</v>
      </c>
      <c r="AE4" s="100">
        <v>7.0000000000000007E-2</v>
      </c>
      <c r="AF4" s="86">
        <f t="shared" si="3"/>
        <v>4.4999999999999984E-2</v>
      </c>
      <c r="AG4" s="100">
        <v>14.21</v>
      </c>
      <c r="AH4" s="91">
        <v>0.29499999999999998</v>
      </c>
      <c r="AI4" s="91">
        <v>0.25</v>
      </c>
    </row>
    <row r="5" spans="1:39" x14ac:dyDescent="0.25">
      <c r="A5" s="86" t="s">
        <v>332</v>
      </c>
      <c r="B5" s="86" t="s">
        <v>283</v>
      </c>
      <c r="C5" s="86" t="s">
        <v>337</v>
      </c>
      <c r="D5" s="86">
        <v>1</v>
      </c>
      <c r="E5" s="87">
        <f>'FP Background Data'!P8*0.75</f>
        <v>941.25</v>
      </c>
      <c r="F5" s="87">
        <f>'FP Background Data'!P8</f>
        <v>1255</v>
      </c>
      <c r="G5" s="96">
        <f t="shared" si="0"/>
        <v>6.0999999999999999E-2</v>
      </c>
      <c r="H5" s="96">
        <f t="shared" si="1"/>
        <v>0.10199999999999998</v>
      </c>
      <c r="I5" s="97">
        <v>0.5</v>
      </c>
      <c r="J5" s="97">
        <v>10</v>
      </c>
      <c r="K5" s="97">
        <f t="shared" si="4"/>
        <v>7.0000000000000007E-2</v>
      </c>
      <c r="L5" s="97">
        <f t="shared" si="5"/>
        <v>20.9</v>
      </c>
      <c r="M5" s="97">
        <f t="shared" si="6"/>
        <v>14.62</v>
      </c>
      <c r="N5" s="97">
        <f t="shared" si="7"/>
        <v>39.42</v>
      </c>
      <c r="O5" s="97">
        <f t="shared" si="8"/>
        <v>15.25</v>
      </c>
      <c r="P5" s="97">
        <f t="shared" si="9"/>
        <v>45.95</v>
      </c>
      <c r="Q5" s="7" t="s">
        <v>49</v>
      </c>
      <c r="R5" s="7"/>
      <c r="S5" s="7"/>
      <c r="T5" s="7"/>
      <c r="U5" s="7"/>
      <c r="V5" s="7"/>
      <c r="Y5" s="86" t="s">
        <v>332</v>
      </c>
      <c r="Z5" s="86" t="s">
        <v>283</v>
      </c>
      <c r="AA5" s="86" t="s">
        <v>337</v>
      </c>
      <c r="AB5" s="87">
        <f t="shared" si="2"/>
        <v>941.25</v>
      </c>
      <c r="AC5" s="86">
        <v>1</v>
      </c>
      <c r="AD5" s="86">
        <v>0.5</v>
      </c>
      <c r="AE5" s="100">
        <v>7.0000000000000007E-2</v>
      </c>
      <c r="AF5" s="86">
        <f t="shared" si="3"/>
        <v>6.0999999999999999E-2</v>
      </c>
      <c r="AG5" s="100">
        <v>14.62</v>
      </c>
      <c r="AH5" s="91">
        <v>0.311</v>
      </c>
      <c r="AI5" s="91">
        <v>0.25</v>
      </c>
      <c r="AM5" s="78"/>
    </row>
    <row r="6" spans="1:39" x14ac:dyDescent="0.25">
      <c r="A6" s="86" t="s">
        <v>333</v>
      </c>
      <c r="B6" s="86" t="s">
        <v>284</v>
      </c>
      <c r="C6" s="86" t="s">
        <v>337</v>
      </c>
      <c r="D6" s="86">
        <v>1</v>
      </c>
      <c r="E6" s="87">
        <f>'FP Background Data'!P9*0.75</f>
        <v>1053.75</v>
      </c>
      <c r="F6" s="87">
        <f>'FP Background Data'!P9</f>
        <v>1405</v>
      </c>
      <c r="G6" s="96">
        <f t="shared" si="0"/>
        <v>7.5000000000000011E-2</v>
      </c>
      <c r="H6" s="96">
        <f t="shared" si="1"/>
        <v>0.125</v>
      </c>
      <c r="I6" s="97">
        <v>0.5</v>
      </c>
      <c r="J6" s="97">
        <v>10</v>
      </c>
      <c r="K6" s="97">
        <f t="shared" si="4"/>
        <v>7.0000000000000007E-2</v>
      </c>
      <c r="L6" s="97">
        <f t="shared" si="5"/>
        <v>20.9</v>
      </c>
      <c r="M6" s="97">
        <f t="shared" si="6"/>
        <v>14.87</v>
      </c>
      <c r="N6" s="97">
        <f t="shared" si="7"/>
        <v>41.86</v>
      </c>
      <c r="O6" s="97">
        <f t="shared" si="8"/>
        <v>15.48</v>
      </c>
      <c r="P6" s="97">
        <f t="shared" si="9"/>
        <v>48.81</v>
      </c>
      <c r="Q6" s="7" t="s">
        <v>49</v>
      </c>
      <c r="R6" s="7"/>
      <c r="S6" s="7"/>
      <c r="T6" s="7"/>
      <c r="U6" s="7"/>
      <c r="V6" s="7"/>
      <c r="Y6" s="86" t="s">
        <v>333</v>
      </c>
      <c r="Z6" s="86" t="s">
        <v>284</v>
      </c>
      <c r="AA6" s="86" t="s">
        <v>337</v>
      </c>
      <c r="AB6" s="87">
        <f t="shared" si="2"/>
        <v>1053.75</v>
      </c>
      <c r="AC6" s="86">
        <v>1</v>
      </c>
      <c r="AD6" s="86">
        <v>0.5</v>
      </c>
      <c r="AE6" s="100">
        <v>7.0000000000000007E-2</v>
      </c>
      <c r="AF6" s="86">
        <f t="shared" si="3"/>
        <v>7.5000000000000011E-2</v>
      </c>
      <c r="AG6" s="100">
        <v>14.87</v>
      </c>
      <c r="AH6" s="91">
        <v>0.32500000000000001</v>
      </c>
      <c r="AI6" s="91">
        <v>0.25</v>
      </c>
    </row>
    <row r="7" spans="1:39" x14ac:dyDescent="0.25">
      <c r="A7" s="86" t="s">
        <v>346</v>
      </c>
      <c r="B7" s="86" t="s">
        <v>285</v>
      </c>
      <c r="C7" s="86" t="s">
        <v>337</v>
      </c>
      <c r="D7" s="86">
        <v>1</v>
      </c>
      <c r="E7" s="87">
        <f>'FP Background Data'!P10*0.75</f>
        <v>1282.5</v>
      </c>
      <c r="F7" s="87">
        <f>'FP Background Data'!P10</f>
        <v>1710</v>
      </c>
      <c r="G7" s="96">
        <f t="shared" si="0"/>
        <v>6.6000000000000003E-2</v>
      </c>
      <c r="H7" s="96">
        <f t="shared" si="1"/>
        <v>0.10999999999999999</v>
      </c>
      <c r="I7" s="97">
        <v>0.5</v>
      </c>
      <c r="J7" s="97">
        <v>7</v>
      </c>
      <c r="K7" s="97">
        <f t="shared" si="4"/>
        <v>0.1</v>
      </c>
      <c r="L7" s="97">
        <f t="shared" si="5"/>
        <v>11.03</v>
      </c>
      <c r="M7" s="97">
        <f t="shared" si="6"/>
        <v>18.350000000000001</v>
      </c>
      <c r="N7" s="97">
        <f t="shared" si="7"/>
        <v>47.83</v>
      </c>
      <c r="O7" s="97">
        <f t="shared" si="8"/>
        <v>19.100000000000001</v>
      </c>
      <c r="P7" s="97">
        <f t="shared" si="9"/>
        <v>55.38</v>
      </c>
      <c r="Q7" s="7" t="s">
        <v>49</v>
      </c>
      <c r="R7" s="7"/>
      <c r="S7" s="7"/>
      <c r="T7" s="7"/>
      <c r="U7" s="7"/>
      <c r="V7" s="7"/>
      <c r="Y7" s="86" t="s">
        <v>346</v>
      </c>
      <c r="Z7" s="86" t="s">
        <v>285</v>
      </c>
      <c r="AA7" s="86" t="s">
        <v>337</v>
      </c>
      <c r="AB7" s="87">
        <f t="shared" si="2"/>
        <v>1282.5</v>
      </c>
      <c r="AC7" s="86">
        <v>1</v>
      </c>
      <c r="AD7" s="86">
        <v>0.5</v>
      </c>
      <c r="AE7" s="100">
        <v>0.1</v>
      </c>
      <c r="AF7" s="86">
        <f t="shared" si="3"/>
        <v>6.6000000000000003E-2</v>
      </c>
      <c r="AG7" s="100">
        <v>18.350000000000001</v>
      </c>
      <c r="AH7" s="91">
        <v>0.316</v>
      </c>
      <c r="AI7" s="91">
        <v>0.25</v>
      </c>
    </row>
    <row r="8" spans="1:39" x14ac:dyDescent="0.25">
      <c r="A8" s="86" t="s">
        <v>347</v>
      </c>
      <c r="B8" s="86" t="s">
        <v>286</v>
      </c>
      <c r="C8" s="86" t="s">
        <v>337</v>
      </c>
      <c r="D8" s="86">
        <v>1</v>
      </c>
      <c r="E8" s="87">
        <f>'FP Background Data'!P11*0.75</f>
        <v>1350</v>
      </c>
      <c r="F8" s="87">
        <f>'FP Background Data'!P11</f>
        <v>1800</v>
      </c>
      <c r="G8" s="96">
        <f t="shared" si="0"/>
        <v>7.2000000000000008E-2</v>
      </c>
      <c r="H8" s="96">
        <f t="shared" si="1"/>
        <v>0.121</v>
      </c>
      <c r="I8" s="97">
        <v>0.5</v>
      </c>
      <c r="J8" s="97">
        <v>7.5</v>
      </c>
      <c r="K8" s="97">
        <f t="shared" si="4"/>
        <v>0.1</v>
      </c>
      <c r="L8" s="97">
        <f t="shared" si="5"/>
        <v>12.52</v>
      </c>
      <c r="M8" s="97">
        <f t="shared" si="6"/>
        <v>18.489999999999998</v>
      </c>
      <c r="N8" s="97">
        <f t="shared" si="7"/>
        <v>49.45</v>
      </c>
      <c r="O8" s="97">
        <f t="shared" si="8"/>
        <v>19.23</v>
      </c>
      <c r="P8" s="97">
        <f t="shared" si="9"/>
        <v>57.35</v>
      </c>
      <c r="Q8" s="7" t="s">
        <v>49</v>
      </c>
      <c r="R8" s="7"/>
      <c r="S8" s="7"/>
      <c r="T8" s="7"/>
      <c r="U8" s="7"/>
      <c r="V8" s="7"/>
      <c r="Y8" s="86" t="s">
        <v>347</v>
      </c>
      <c r="Z8" s="86" t="s">
        <v>286</v>
      </c>
      <c r="AA8" s="86" t="s">
        <v>337</v>
      </c>
      <c r="AB8" s="87">
        <f t="shared" si="2"/>
        <v>1350</v>
      </c>
      <c r="AC8" s="86">
        <v>1</v>
      </c>
      <c r="AD8" s="86">
        <v>0.5</v>
      </c>
      <c r="AE8" s="100">
        <v>0.1</v>
      </c>
      <c r="AF8" s="86">
        <f t="shared" si="3"/>
        <v>7.2000000000000008E-2</v>
      </c>
      <c r="AG8" s="100">
        <v>18.489999999999998</v>
      </c>
      <c r="AH8" s="91">
        <v>0.32200000000000001</v>
      </c>
      <c r="AI8" s="91">
        <v>0.25</v>
      </c>
    </row>
    <row r="9" spans="1:39" x14ac:dyDescent="0.25">
      <c r="Y9" s="86" t="s">
        <v>327</v>
      </c>
      <c r="Z9" s="86" t="s">
        <v>281</v>
      </c>
      <c r="AA9" s="86" t="s">
        <v>337</v>
      </c>
      <c r="AB9" s="87">
        <f>E3</f>
        <v>333.75</v>
      </c>
      <c r="AC9" s="86">
        <v>1</v>
      </c>
      <c r="AD9" s="86">
        <v>5</v>
      </c>
      <c r="AE9" s="100">
        <v>13.02</v>
      </c>
      <c r="AF9" s="86">
        <f t="shared" si="3"/>
        <v>1.2000000000000011E-2</v>
      </c>
      <c r="AG9" s="100">
        <v>20.43</v>
      </c>
      <c r="AH9" s="91">
        <v>0.26200000000000001</v>
      </c>
      <c r="AI9" s="91">
        <v>0.25</v>
      </c>
    </row>
    <row r="10" spans="1:39" x14ac:dyDescent="0.25">
      <c r="A10" s="88" t="s">
        <v>371</v>
      </c>
      <c r="B10" s="78"/>
      <c r="E10" s="78"/>
      <c r="F10" s="78"/>
      <c r="I10" s="78"/>
      <c r="J10" s="78"/>
      <c r="K10" s="78"/>
      <c r="M10" s="16" t="s">
        <v>367</v>
      </c>
      <c r="N10" s="16" t="s">
        <v>368</v>
      </c>
      <c r="O10" s="16" t="s">
        <v>369</v>
      </c>
      <c r="P10" s="16" t="s">
        <v>370</v>
      </c>
      <c r="Q10" s="16"/>
      <c r="R10" s="16"/>
      <c r="S10" s="16"/>
      <c r="T10" s="16"/>
      <c r="U10" s="16"/>
      <c r="V10" s="16"/>
      <c r="Y10" s="86" t="s">
        <v>331</v>
      </c>
      <c r="Z10" s="86" t="s">
        <v>282</v>
      </c>
      <c r="AA10" s="86" t="s">
        <v>337</v>
      </c>
      <c r="AB10" s="87">
        <f t="shared" ref="AB10:AB14" si="10">E4</f>
        <v>787.5</v>
      </c>
      <c r="AC10" s="86">
        <v>1</v>
      </c>
      <c r="AD10" s="86">
        <v>10</v>
      </c>
      <c r="AE10" s="100">
        <v>20.9</v>
      </c>
      <c r="AF10" s="86">
        <f t="shared" si="3"/>
        <v>4.4999999999999984E-2</v>
      </c>
      <c r="AG10" s="100">
        <v>35.909999999999997</v>
      </c>
      <c r="AH10" s="91">
        <v>0.29499999999999998</v>
      </c>
      <c r="AI10" s="91">
        <v>0.25</v>
      </c>
    </row>
    <row r="11" spans="1:39" x14ac:dyDescent="0.25">
      <c r="A11" s="86" t="s">
        <v>326</v>
      </c>
      <c r="B11" s="86" t="s">
        <v>334</v>
      </c>
      <c r="C11" s="86" t="s">
        <v>336</v>
      </c>
      <c r="D11" s="86" t="s">
        <v>335</v>
      </c>
      <c r="E11" s="86" t="s">
        <v>361</v>
      </c>
      <c r="F11" s="86" t="s">
        <v>363</v>
      </c>
      <c r="G11" s="86" t="s">
        <v>362</v>
      </c>
      <c r="H11" s="86" t="s">
        <v>364</v>
      </c>
      <c r="I11" s="86" t="s">
        <v>328</v>
      </c>
      <c r="J11" s="86" t="s">
        <v>357</v>
      </c>
      <c r="K11" s="86" t="s">
        <v>355</v>
      </c>
      <c r="L11" s="86" t="s">
        <v>358</v>
      </c>
      <c r="M11" s="86" t="s">
        <v>359</v>
      </c>
      <c r="N11" s="86" t="s">
        <v>360</v>
      </c>
      <c r="O11" s="86" t="s">
        <v>365</v>
      </c>
      <c r="P11" s="86" t="s">
        <v>366</v>
      </c>
      <c r="Q11" s="7"/>
      <c r="R11" s="7"/>
      <c r="S11" s="7"/>
      <c r="T11" s="7"/>
      <c r="U11" s="7"/>
      <c r="V11" s="7"/>
      <c r="Y11" s="86" t="s">
        <v>332</v>
      </c>
      <c r="Z11" s="86" t="s">
        <v>283</v>
      </c>
      <c r="AA11" s="86" t="s">
        <v>337</v>
      </c>
      <c r="AB11" s="87">
        <f t="shared" si="10"/>
        <v>941.25</v>
      </c>
      <c r="AC11" s="86">
        <v>1</v>
      </c>
      <c r="AD11" s="86">
        <v>10</v>
      </c>
      <c r="AE11" s="100">
        <v>20.9</v>
      </c>
      <c r="AF11" s="86">
        <f t="shared" si="3"/>
        <v>6.0999999999999999E-2</v>
      </c>
      <c r="AG11" s="100">
        <v>39.42</v>
      </c>
      <c r="AH11" s="91">
        <v>0.311</v>
      </c>
      <c r="AI11" s="91">
        <v>0.25</v>
      </c>
    </row>
    <row r="12" spans="1:39" x14ac:dyDescent="0.25">
      <c r="A12" s="86" t="s">
        <v>342</v>
      </c>
      <c r="B12" s="86" t="s">
        <v>281</v>
      </c>
      <c r="C12" s="86" t="s">
        <v>337</v>
      </c>
      <c r="D12" s="86">
        <v>2</v>
      </c>
      <c r="E12" s="87">
        <f>'FP Background Data'!Q6*0.75</f>
        <v>318.75</v>
      </c>
      <c r="F12" s="87">
        <f>'FP Background Data'!Q6</f>
        <v>425</v>
      </c>
      <c r="G12" s="96">
        <f>AF27</f>
        <v>2.300000000000002E-2</v>
      </c>
      <c r="H12" s="96">
        <f>AF39</f>
        <v>3.6999999999999977E-2</v>
      </c>
      <c r="I12" s="97">
        <v>1</v>
      </c>
      <c r="J12" s="97">
        <v>1</v>
      </c>
      <c r="K12" s="97">
        <f>AE27</f>
        <v>1.21</v>
      </c>
      <c r="L12" s="97" cm="1">
        <f t="array" ref="L12:L17">AE33:AE38</f>
        <v>1.21</v>
      </c>
      <c r="M12" s="97">
        <f>AG27</f>
        <v>23.1</v>
      </c>
      <c r="N12" s="97">
        <f>AG33</f>
        <v>23.1</v>
      </c>
      <c r="O12" s="97">
        <f>AG39</f>
        <v>26.87</v>
      </c>
      <c r="P12" s="97">
        <f>AG45</f>
        <v>26.87</v>
      </c>
      <c r="Q12" s="7" t="s">
        <v>49</v>
      </c>
      <c r="R12" s="7"/>
      <c r="S12" s="7"/>
      <c r="T12" s="7"/>
      <c r="U12" s="7"/>
      <c r="V12" s="7"/>
      <c r="Y12" s="86" t="s">
        <v>333</v>
      </c>
      <c r="Z12" s="86" t="s">
        <v>284</v>
      </c>
      <c r="AA12" s="86" t="s">
        <v>337</v>
      </c>
      <c r="AB12" s="87">
        <f t="shared" si="10"/>
        <v>1053.75</v>
      </c>
      <c r="AC12" s="86">
        <v>1</v>
      </c>
      <c r="AD12" s="86">
        <v>10</v>
      </c>
      <c r="AE12" s="100">
        <v>20.9</v>
      </c>
      <c r="AF12" s="86">
        <f t="shared" si="3"/>
        <v>7.5000000000000011E-2</v>
      </c>
      <c r="AG12" s="100">
        <v>41.86</v>
      </c>
      <c r="AH12" s="91">
        <v>0.32500000000000001</v>
      </c>
      <c r="AI12" s="91">
        <v>0.25</v>
      </c>
    </row>
    <row r="13" spans="1:39" x14ac:dyDescent="0.25">
      <c r="A13" s="86" t="s">
        <v>343</v>
      </c>
      <c r="B13" s="86" t="s">
        <v>282</v>
      </c>
      <c r="C13" s="86" t="s">
        <v>337</v>
      </c>
      <c r="D13" s="86">
        <v>2</v>
      </c>
      <c r="E13" s="87">
        <f>'FP Background Data'!Q7*0.75</f>
        <v>757.5</v>
      </c>
      <c r="F13" s="87">
        <f>'FP Background Data'!Q7</f>
        <v>1010</v>
      </c>
      <c r="G13" s="96">
        <f t="shared" ref="G13:G17" si="11">AF28</f>
        <v>8.4000000000000019E-2</v>
      </c>
      <c r="H13" s="96">
        <f t="shared" ref="H13:H17" si="12">AF40</f>
        <v>0.13300000000000001</v>
      </c>
      <c r="I13" s="97">
        <v>1</v>
      </c>
      <c r="J13" s="97">
        <v>10</v>
      </c>
      <c r="K13" s="97">
        <f t="shared" ref="K13:K17" si="13">AE28</f>
        <v>0.33</v>
      </c>
      <c r="L13" s="97">
        <v>24.91</v>
      </c>
      <c r="M13" s="97">
        <f t="shared" ref="M13:M17" si="14">AG28</f>
        <v>33.44</v>
      </c>
      <c r="N13" s="97">
        <f t="shared" ref="N13:N17" si="15">AG34</f>
        <v>57.49</v>
      </c>
      <c r="O13" s="97">
        <f t="shared" ref="O13:O17" si="16">AG40</f>
        <v>36.03</v>
      </c>
      <c r="P13" s="97">
        <f t="shared" ref="P13:P17" si="17">AG46</f>
        <v>68.849999999999994</v>
      </c>
      <c r="Q13" s="7" t="s">
        <v>49</v>
      </c>
      <c r="R13" s="7"/>
      <c r="S13" s="7"/>
      <c r="T13" s="7"/>
      <c r="U13" s="7"/>
      <c r="V13" s="7"/>
      <c r="Y13" s="86" t="s">
        <v>346</v>
      </c>
      <c r="Z13" s="86" t="s">
        <v>285</v>
      </c>
      <c r="AA13" s="86" t="s">
        <v>337</v>
      </c>
      <c r="AB13" s="87">
        <f t="shared" si="10"/>
        <v>1282.5</v>
      </c>
      <c r="AC13" s="86">
        <v>1</v>
      </c>
      <c r="AD13" s="86">
        <v>7</v>
      </c>
      <c r="AE13" s="100">
        <v>11.03</v>
      </c>
      <c r="AF13" s="86">
        <f t="shared" si="3"/>
        <v>6.6000000000000003E-2</v>
      </c>
      <c r="AG13" s="100">
        <v>47.83</v>
      </c>
      <c r="AH13" s="91">
        <v>0.316</v>
      </c>
      <c r="AI13" s="91">
        <v>0.25</v>
      </c>
    </row>
    <row r="14" spans="1:39" x14ac:dyDescent="0.25">
      <c r="A14" s="86" t="s">
        <v>344</v>
      </c>
      <c r="B14" s="86" t="s">
        <v>283</v>
      </c>
      <c r="C14" s="86" t="s">
        <v>337</v>
      </c>
      <c r="D14" s="86">
        <v>2</v>
      </c>
      <c r="E14" s="87">
        <f>'FP Background Data'!Q8*0.75</f>
        <v>888.75</v>
      </c>
      <c r="F14" s="87">
        <f>'FP Background Data'!Q8</f>
        <v>1185</v>
      </c>
      <c r="G14" s="96">
        <f t="shared" si="11"/>
        <v>0.10799999999999998</v>
      </c>
      <c r="H14" s="96">
        <f t="shared" si="12"/>
        <v>0.17399999999999999</v>
      </c>
      <c r="I14" s="97">
        <v>1</v>
      </c>
      <c r="J14" s="97">
        <v>10</v>
      </c>
      <c r="K14" s="97">
        <f t="shared" si="13"/>
        <v>0.33</v>
      </c>
      <c r="L14" s="97">
        <v>24.92</v>
      </c>
      <c r="M14" s="97">
        <f t="shared" si="14"/>
        <v>34.94</v>
      </c>
      <c r="N14" s="97">
        <f t="shared" si="15"/>
        <v>63.68</v>
      </c>
      <c r="O14" s="97">
        <f t="shared" si="16"/>
        <v>37.29</v>
      </c>
      <c r="P14" s="97">
        <f t="shared" si="17"/>
        <v>75.540000000000006</v>
      </c>
      <c r="Q14" s="7" t="s">
        <v>49</v>
      </c>
      <c r="R14" s="7"/>
      <c r="S14" s="7"/>
      <c r="T14" s="7"/>
      <c r="U14" s="7"/>
      <c r="V14" s="7"/>
      <c r="Y14" s="86" t="s">
        <v>347</v>
      </c>
      <c r="Z14" s="86" t="s">
        <v>286</v>
      </c>
      <c r="AA14" s="86" t="s">
        <v>337</v>
      </c>
      <c r="AB14" s="87">
        <f t="shared" si="10"/>
        <v>1350</v>
      </c>
      <c r="AC14" s="86">
        <v>1</v>
      </c>
      <c r="AD14" s="86">
        <v>7.5</v>
      </c>
      <c r="AE14" s="100">
        <v>12.52</v>
      </c>
      <c r="AF14" s="86">
        <f t="shared" si="3"/>
        <v>7.2000000000000008E-2</v>
      </c>
      <c r="AG14" s="100">
        <v>49.45</v>
      </c>
      <c r="AH14" s="91">
        <v>0.32200000000000001</v>
      </c>
      <c r="AI14" s="91">
        <v>0.25</v>
      </c>
    </row>
    <row r="15" spans="1:39" x14ac:dyDescent="0.25">
      <c r="A15" s="86" t="s">
        <v>345</v>
      </c>
      <c r="B15" s="86" t="s">
        <v>284</v>
      </c>
      <c r="C15" s="86" t="s">
        <v>337</v>
      </c>
      <c r="D15" s="86">
        <v>2</v>
      </c>
      <c r="E15" s="87">
        <f>'FP Background Data'!Q9*0.75</f>
        <v>982.5</v>
      </c>
      <c r="F15" s="87">
        <f>'FP Background Data'!Q9</f>
        <v>1310</v>
      </c>
      <c r="G15" s="96">
        <f t="shared" si="11"/>
        <v>0.127</v>
      </c>
      <c r="H15" s="96">
        <f t="shared" si="12"/>
        <v>0.20500000000000002</v>
      </c>
      <c r="I15" s="97">
        <v>1</v>
      </c>
      <c r="J15" s="97">
        <v>10</v>
      </c>
      <c r="K15" s="97">
        <f t="shared" si="13"/>
        <v>0.33</v>
      </c>
      <c r="L15" s="97">
        <v>24.92</v>
      </c>
      <c r="M15" s="97">
        <f t="shared" si="14"/>
        <v>35.81</v>
      </c>
      <c r="N15" s="97">
        <f t="shared" si="15"/>
        <v>67.73</v>
      </c>
      <c r="O15" s="97">
        <f t="shared" si="16"/>
        <v>38.01</v>
      </c>
      <c r="P15" s="97">
        <f t="shared" si="17"/>
        <v>79.84</v>
      </c>
      <c r="Q15" s="7" t="s">
        <v>49</v>
      </c>
      <c r="R15" s="7"/>
      <c r="S15" s="7"/>
      <c r="T15" s="7"/>
      <c r="U15" s="7"/>
      <c r="V15" s="7"/>
      <c r="Y15" s="86" t="s">
        <v>327</v>
      </c>
      <c r="Z15" s="86" t="s">
        <v>281</v>
      </c>
      <c r="AA15" s="86" t="s">
        <v>337</v>
      </c>
      <c r="AB15" s="87">
        <f t="shared" ref="AB15:AB20" si="18">F3</f>
        <v>445</v>
      </c>
      <c r="AC15" s="86">
        <v>1</v>
      </c>
      <c r="AD15" s="86">
        <v>0.5</v>
      </c>
      <c r="AE15" s="100">
        <v>0.21</v>
      </c>
      <c r="AF15" s="86">
        <f t="shared" si="3"/>
        <v>1.9000000000000017E-2</v>
      </c>
      <c r="AG15" s="100">
        <v>14.23</v>
      </c>
      <c r="AH15" s="91">
        <v>0.26900000000000002</v>
      </c>
      <c r="AI15" s="91">
        <v>0.25</v>
      </c>
    </row>
    <row r="16" spans="1:39" x14ac:dyDescent="0.25">
      <c r="A16" s="86" t="s">
        <v>348</v>
      </c>
      <c r="B16" s="86" t="s">
        <v>285</v>
      </c>
      <c r="C16" s="86" t="s">
        <v>337</v>
      </c>
      <c r="D16" s="86">
        <v>2</v>
      </c>
      <c r="E16" s="87">
        <f>'FP Background Data'!Q10*0.75</f>
        <v>1200</v>
      </c>
      <c r="F16" s="87">
        <f>'FP Background Data'!Q10</f>
        <v>1600</v>
      </c>
      <c r="G16" s="96">
        <f t="shared" si="11"/>
        <v>0.11399999999999999</v>
      </c>
      <c r="H16" s="96">
        <f t="shared" si="12"/>
        <v>0.184</v>
      </c>
      <c r="I16" s="97">
        <v>1</v>
      </c>
      <c r="J16" s="97">
        <v>7</v>
      </c>
      <c r="K16" s="97">
        <f t="shared" si="13"/>
        <v>0.62</v>
      </c>
      <c r="L16" s="97">
        <v>18.899999999999999</v>
      </c>
      <c r="M16" s="97">
        <f t="shared" si="14"/>
        <v>40.950000000000003</v>
      </c>
      <c r="N16" s="97">
        <f t="shared" si="15"/>
        <v>77.239999999999995</v>
      </c>
      <c r="O16" s="97">
        <f t="shared" si="16"/>
        <v>43.18</v>
      </c>
      <c r="P16" s="97">
        <f t="shared" si="17"/>
        <v>90.07</v>
      </c>
      <c r="Q16" s="7" t="s">
        <v>49</v>
      </c>
      <c r="R16" s="7"/>
      <c r="S16" s="7"/>
      <c r="T16" s="7"/>
      <c r="U16" s="7"/>
      <c r="V16" s="7"/>
      <c r="Y16" s="86" t="s">
        <v>331</v>
      </c>
      <c r="Z16" s="86" t="s">
        <v>282</v>
      </c>
      <c r="AA16" s="86" t="s">
        <v>337</v>
      </c>
      <c r="AB16" s="87">
        <f t="shared" si="18"/>
        <v>1050</v>
      </c>
      <c r="AC16" s="86">
        <v>1</v>
      </c>
      <c r="AD16" s="86">
        <v>0.5</v>
      </c>
      <c r="AE16" s="100">
        <v>7.0000000000000007E-2</v>
      </c>
      <c r="AF16" s="86">
        <f t="shared" si="3"/>
        <v>7.400000000000001E-2</v>
      </c>
      <c r="AG16" s="100">
        <v>14.87</v>
      </c>
      <c r="AH16" s="91">
        <v>0.32400000000000001</v>
      </c>
      <c r="AI16" s="91">
        <v>0.25</v>
      </c>
    </row>
    <row r="17" spans="1:35" x14ac:dyDescent="0.25">
      <c r="A17" s="86" t="s">
        <v>349</v>
      </c>
      <c r="B17" s="86" t="s">
        <v>286</v>
      </c>
      <c r="C17" s="86" t="s">
        <v>337</v>
      </c>
      <c r="D17" s="86">
        <v>2</v>
      </c>
      <c r="E17" s="87">
        <f>'FP Background Data'!Q11*0.75</f>
        <v>1245</v>
      </c>
      <c r="F17" s="87">
        <f>'FP Background Data'!Q11</f>
        <v>1660</v>
      </c>
      <c r="G17" s="96">
        <f t="shared" si="11"/>
        <v>0.121</v>
      </c>
      <c r="H17" s="96">
        <f t="shared" si="12"/>
        <v>0.19500000000000001</v>
      </c>
      <c r="I17" s="97">
        <v>1</v>
      </c>
      <c r="J17" s="97">
        <v>7.5</v>
      </c>
      <c r="K17" s="97">
        <f t="shared" si="13"/>
        <v>0.62</v>
      </c>
      <c r="L17" s="97">
        <v>21.39</v>
      </c>
      <c r="M17" s="97">
        <f t="shared" si="14"/>
        <v>41.27</v>
      </c>
      <c r="N17" s="97">
        <f t="shared" si="15"/>
        <v>79.5</v>
      </c>
      <c r="O17" s="97">
        <f t="shared" si="16"/>
        <v>43.43</v>
      </c>
      <c r="P17" s="97">
        <f t="shared" si="17"/>
        <v>92.65</v>
      </c>
      <c r="Q17" s="7" t="s">
        <v>49</v>
      </c>
      <c r="R17" s="7"/>
      <c r="S17" s="7"/>
      <c r="T17" s="7"/>
      <c r="U17" s="7"/>
      <c r="V17" s="7"/>
      <c r="Y17" s="86" t="s">
        <v>332</v>
      </c>
      <c r="Z17" s="86" t="s">
        <v>283</v>
      </c>
      <c r="AA17" s="86" t="s">
        <v>337</v>
      </c>
      <c r="AB17" s="87">
        <f t="shared" si="18"/>
        <v>1255</v>
      </c>
      <c r="AC17" s="86">
        <v>1</v>
      </c>
      <c r="AD17" s="86">
        <v>0.5</v>
      </c>
      <c r="AE17" s="100">
        <v>7.0000000000000007E-2</v>
      </c>
      <c r="AF17" s="86">
        <f t="shared" si="3"/>
        <v>0.10199999999999998</v>
      </c>
      <c r="AG17" s="100">
        <v>15.25</v>
      </c>
      <c r="AH17" s="91">
        <v>0.35199999999999998</v>
      </c>
      <c r="AI17" s="91">
        <v>0.25</v>
      </c>
    </row>
    <row r="18" spans="1:35" x14ac:dyDescent="0.25">
      <c r="D18"/>
      <c r="Y18" s="86" t="s">
        <v>333</v>
      </c>
      <c r="Z18" s="86" t="s">
        <v>284</v>
      </c>
      <c r="AA18" s="86" t="s">
        <v>337</v>
      </c>
      <c r="AB18" s="87">
        <f t="shared" si="18"/>
        <v>1405</v>
      </c>
      <c r="AC18" s="86">
        <v>1</v>
      </c>
      <c r="AD18" s="86">
        <v>0.5</v>
      </c>
      <c r="AE18" s="100">
        <v>7.0000000000000007E-2</v>
      </c>
      <c r="AF18" s="86">
        <f t="shared" si="3"/>
        <v>0.125</v>
      </c>
      <c r="AG18" s="100">
        <v>15.48</v>
      </c>
      <c r="AH18" s="91">
        <v>0.375</v>
      </c>
      <c r="AI18" s="91">
        <v>0.25</v>
      </c>
    </row>
    <row r="19" spans="1:35" x14ac:dyDescent="0.25">
      <c r="A19" s="88" t="s">
        <v>374</v>
      </c>
      <c r="B19" s="78"/>
      <c r="E19" s="78"/>
      <c r="F19" s="78"/>
      <c r="I19" s="78"/>
      <c r="J19" s="78"/>
      <c r="K19" s="78"/>
      <c r="M19" s="16" t="s">
        <v>367</v>
      </c>
      <c r="N19" s="16" t="s">
        <v>368</v>
      </c>
      <c r="O19" s="16" t="s">
        <v>369</v>
      </c>
      <c r="P19" s="16" t="s">
        <v>370</v>
      </c>
      <c r="Q19" s="16"/>
      <c r="R19" s="16"/>
      <c r="S19" s="16"/>
      <c r="T19" s="16"/>
      <c r="U19" s="16"/>
      <c r="V19" s="16"/>
      <c r="W19" s="78"/>
      <c r="Y19" s="86" t="s">
        <v>346</v>
      </c>
      <c r="Z19" s="86" t="s">
        <v>285</v>
      </c>
      <c r="AA19" s="86" t="s">
        <v>337</v>
      </c>
      <c r="AB19" s="87">
        <f t="shared" si="18"/>
        <v>1710</v>
      </c>
      <c r="AC19" s="86">
        <v>1</v>
      </c>
      <c r="AD19" s="86">
        <v>0.5</v>
      </c>
      <c r="AE19" s="100">
        <v>0.1</v>
      </c>
      <c r="AF19" s="86">
        <f t="shared" si="3"/>
        <v>0.10999999999999999</v>
      </c>
      <c r="AG19" s="100">
        <v>19.100000000000001</v>
      </c>
      <c r="AH19" s="91">
        <v>0.36</v>
      </c>
      <c r="AI19" s="91">
        <v>0.25</v>
      </c>
    </row>
    <row r="20" spans="1:35" x14ac:dyDescent="0.25">
      <c r="A20" s="86" t="s">
        <v>326</v>
      </c>
      <c r="B20" s="86" t="s">
        <v>334</v>
      </c>
      <c r="C20" s="86" t="s">
        <v>336</v>
      </c>
      <c r="D20" s="86" t="s">
        <v>335</v>
      </c>
      <c r="E20" s="86" t="s">
        <v>361</v>
      </c>
      <c r="F20" s="86" t="s">
        <v>363</v>
      </c>
      <c r="G20" s="86" t="s">
        <v>362</v>
      </c>
      <c r="H20" s="86" t="s">
        <v>364</v>
      </c>
      <c r="I20" s="86" t="s">
        <v>328</v>
      </c>
      <c r="J20" s="86" t="s">
        <v>357</v>
      </c>
      <c r="K20" s="86" t="s">
        <v>355</v>
      </c>
      <c r="L20" s="86" t="s">
        <v>358</v>
      </c>
      <c r="M20" s="86" t="s">
        <v>359</v>
      </c>
      <c r="N20" s="86" t="s">
        <v>360</v>
      </c>
      <c r="O20" s="86" t="s">
        <v>365</v>
      </c>
      <c r="P20" s="86" t="s">
        <v>366</v>
      </c>
      <c r="Q20" s="7"/>
      <c r="R20" s="7"/>
      <c r="S20" s="7"/>
      <c r="T20" s="7"/>
      <c r="U20" s="7"/>
      <c r="V20" s="7"/>
      <c r="W20" s="78"/>
      <c r="Y20" s="86" t="s">
        <v>347</v>
      </c>
      <c r="Z20" s="86" t="s">
        <v>286</v>
      </c>
      <c r="AA20" s="86" t="s">
        <v>337</v>
      </c>
      <c r="AB20" s="87">
        <f t="shared" si="18"/>
        <v>1800</v>
      </c>
      <c r="AC20" s="86">
        <v>1</v>
      </c>
      <c r="AD20" s="86">
        <v>0.5</v>
      </c>
      <c r="AE20" s="100">
        <v>0.1</v>
      </c>
      <c r="AF20" s="86">
        <f t="shared" si="3"/>
        <v>0.121</v>
      </c>
      <c r="AG20" s="100">
        <v>19.23</v>
      </c>
      <c r="AH20" s="91">
        <v>0.371</v>
      </c>
      <c r="AI20" s="91">
        <v>0.25</v>
      </c>
    </row>
    <row r="21" spans="1:35" x14ac:dyDescent="0.25">
      <c r="A21" s="86" t="s">
        <v>339</v>
      </c>
      <c r="B21" s="86" t="s">
        <v>282</v>
      </c>
      <c r="C21" s="86" t="s">
        <v>338</v>
      </c>
      <c r="D21" s="86">
        <v>1</v>
      </c>
      <c r="E21" s="87">
        <f>'FP Background Data'!P12*0.75</f>
        <v>791.25</v>
      </c>
      <c r="F21" s="87">
        <f>'FP Background Data'!P12</f>
        <v>1055</v>
      </c>
      <c r="G21" s="86">
        <f>AF54</f>
        <v>4.4999999999999984E-2</v>
      </c>
      <c r="H21" s="86">
        <f>AF62</f>
        <v>7.5000000000000011E-2</v>
      </c>
      <c r="I21" s="86">
        <v>0.5</v>
      </c>
      <c r="J21" s="86">
        <v>10</v>
      </c>
      <c r="K21" s="86">
        <f>AE54</f>
        <v>7.0000000000000007E-2</v>
      </c>
      <c r="L21" s="86">
        <f>AE58</f>
        <v>20.9</v>
      </c>
      <c r="M21" s="86">
        <f>AG54</f>
        <v>14.22</v>
      </c>
      <c r="N21" s="86">
        <f>AG58</f>
        <v>35.979999999999997</v>
      </c>
      <c r="O21" s="86">
        <f>AG62</f>
        <v>14.88</v>
      </c>
      <c r="P21" s="86">
        <f>AG66</f>
        <v>41.89</v>
      </c>
      <c r="Q21" s="7" t="s">
        <v>49</v>
      </c>
      <c r="R21" s="7"/>
      <c r="S21" s="7"/>
      <c r="T21" s="7"/>
      <c r="U21" s="7"/>
      <c r="V21" s="7"/>
      <c r="W21" s="78"/>
      <c r="Y21" s="86" t="s">
        <v>327</v>
      </c>
      <c r="Z21" s="86" t="s">
        <v>281</v>
      </c>
      <c r="AA21" s="86" t="s">
        <v>337</v>
      </c>
      <c r="AB21" s="87">
        <f t="shared" ref="AB21:AB26" si="19">F3</f>
        <v>445</v>
      </c>
      <c r="AC21" s="86">
        <v>1</v>
      </c>
      <c r="AD21" s="86">
        <v>5</v>
      </c>
      <c r="AE21" s="100">
        <v>13.03</v>
      </c>
      <c r="AF21" s="86">
        <f t="shared" si="3"/>
        <v>1.9000000000000017E-2</v>
      </c>
      <c r="AG21" s="100">
        <v>23.58</v>
      </c>
      <c r="AH21" s="91">
        <v>0.26900000000000002</v>
      </c>
      <c r="AI21" s="91">
        <v>0.25</v>
      </c>
    </row>
    <row r="22" spans="1:35" x14ac:dyDescent="0.25">
      <c r="A22" s="86" t="s">
        <v>340</v>
      </c>
      <c r="B22" s="86" t="s">
        <v>283</v>
      </c>
      <c r="C22" s="86" t="s">
        <v>338</v>
      </c>
      <c r="D22" s="86">
        <v>1</v>
      </c>
      <c r="E22" s="87">
        <f>'FP Background Data'!P13*0.75</f>
        <v>1087.5</v>
      </c>
      <c r="F22" s="87">
        <f>'FP Background Data'!P13</f>
        <v>1450</v>
      </c>
      <c r="G22" s="86">
        <f t="shared" ref="G22:G24" si="20">AF55</f>
        <v>7.9000000000000015E-2</v>
      </c>
      <c r="H22" s="86">
        <f t="shared" ref="H22:H24" si="21">AF63</f>
        <v>0.13300000000000001</v>
      </c>
      <c r="I22" s="86">
        <v>0.5</v>
      </c>
      <c r="J22" s="86">
        <v>10</v>
      </c>
      <c r="K22" s="86">
        <f t="shared" ref="K22:K24" si="22">AE55</f>
        <v>7.0000000000000007E-2</v>
      </c>
      <c r="L22" s="86">
        <f t="shared" ref="L22:L24" si="23">AE59</f>
        <v>20.9</v>
      </c>
      <c r="M22" s="86">
        <f t="shared" ref="M22:M24" si="24">AG55</f>
        <v>14.94</v>
      </c>
      <c r="N22" s="86">
        <f t="shared" ref="N22:N24" si="25">AG59</f>
        <v>42.58</v>
      </c>
      <c r="O22" s="86">
        <f t="shared" ref="O22:O24" si="26">AG63</f>
        <v>15.54</v>
      </c>
      <c r="P22" s="86">
        <f t="shared" ref="P22:P24" si="27">AG67</f>
        <v>49.64</v>
      </c>
      <c r="Q22" s="7" t="s">
        <v>49</v>
      </c>
      <c r="R22" s="7"/>
      <c r="S22" s="7"/>
      <c r="T22" s="7"/>
      <c r="U22" s="7"/>
      <c r="V22" s="7"/>
      <c r="W22" s="78"/>
      <c r="Y22" s="86" t="s">
        <v>331</v>
      </c>
      <c r="Z22" s="86" t="s">
        <v>282</v>
      </c>
      <c r="AA22" s="86" t="s">
        <v>337</v>
      </c>
      <c r="AB22" s="87">
        <f t="shared" si="19"/>
        <v>1050</v>
      </c>
      <c r="AC22" s="86">
        <v>1</v>
      </c>
      <c r="AD22" s="86">
        <v>10</v>
      </c>
      <c r="AE22" s="100">
        <v>20.9</v>
      </c>
      <c r="AF22" s="86">
        <f t="shared" si="3"/>
        <v>7.400000000000001E-2</v>
      </c>
      <c r="AG22" s="100">
        <v>41.78</v>
      </c>
      <c r="AH22" s="91">
        <v>0.32400000000000001</v>
      </c>
      <c r="AI22" s="91">
        <v>0.25</v>
      </c>
    </row>
    <row r="23" spans="1:35" x14ac:dyDescent="0.25">
      <c r="A23" s="86" t="s">
        <v>341</v>
      </c>
      <c r="B23" s="86" t="s">
        <v>284</v>
      </c>
      <c r="C23" s="86" t="s">
        <v>338</v>
      </c>
      <c r="D23" s="86">
        <v>1</v>
      </c>
      <c r="E23" s="87">
        <f>'FP Background Data'!P14*0.75</f>
        <v>1245</v>
      </c>
      <c r="F23" s="87">
        <f>'FP Background Data'!P14</f>
        <v>1660</v>
      </c>
      <c r="G23" s="86">
        <f t="shared" si="20"/>
        <v>0.10099999999999998</v>
      </c>
      <c r="H23" s="86">
        <f t="shared" si="21"/>
        <v>0.16999999999999998</v>
      </c>
      <c r="I23" s="86">
        <v>0.5</v>
      </c>
      <c r="J23" s="86">
        <v>10</v>
      </c>
      <c r="K23" s="86">
        <f t="shared" si="22"/>
        <v>7.0000000000000007E-2</v>
      </c>
      <c r="L23" s="86">
        <f t="shared" si="23"/>
        <v>20.91</v>
      </c>
      <c r="M23" s="86">
        <f t="shared" si="24"/>
        <v>15.23</v>
      </c>
      <c r="N23" s="86">
        <f t="shared" si="25"/>
        <v>45.75</v>
      </c>
      <c r="O23" s="86">
        <f t="shared" si="26"/>
        <v>15.81</v>
      </c>
      <c r="P23" s="86">
        <f t="shared" si="27"/>
        <v>53.38</v>
      </c>
      <c r="Q23" s="7" t="s">
        <v>49</v>
      </c>
      <c r="R23" s="7"/>
      <c r="S23" s="7"/>
      <c r="T23" s="7"/>
      <c r="U23" s="7"/>
      <c r="V23" s="7"/>
      <c r="W23" s="78"/>
      <c r="Y23" s="86" t="s">
        <v>332</v>
      </c>
      <c r="Z23" s="86" t="s">
        <v>283</v>
      </c>
      <c r="AA23" s="86" t="s">
        <v>337</v>
      </c>
      <c r="AB23" s="87">
        <f t="shared" si="19"/>
        <v>1255</v>
      </c>
      <c r="AC23" s="86">
        <v>1</v>
      </c>
      <c r="AD23" s="86">
        <v>10</v>
      </c>
      <c r="AE23" s="100">
        <v>20.91</v>
      </c>
      <c r="AF23" s="86">
        <f t="shared" si="3"/>
        <v>0.10199999999999998</v>
      </c>
      <c r="AG23" s="100">
        <v>45.95</v>
      </c>
      <c r="AH23" s="91">
        <v>0.35199999999999998</v>
      </c>
      <c r="AI23" s="91">
        <v>0.25</v>
      </c>
    </row>
    <row r="24" spans="1:35" x14ac:dyDescent="0.25">
      <c r="A24" s="86" t="s">
        <v>375</v>
      </c>
      <c r="B24" s="86" t="s">
        <v>285</v>
      </c>
      <c r="C24" s="86" t="s">
        <v>338</v>
      </c>
      <c r="D24" s="86">
        <v>1</v>
      </c>
      <c r="E24" s="87">
        <f>'FP Background Data'!P15*0.75</f>
        <v>1462.5</v>
      </c>
      <c r="F24" s="87">
        <f>'FP Background Data'!P15</f>
        <v>1950</v>
      </c>
      <c r="G24" s="86">
        <f t="shared" si="20"/>
        <v>8.3000000000000018E-2</v>
      </c>
      <c r="H24" s="86">
        <f t="shared" si="21"/>
        <v>0.14000000000000001</v>
      </c>
      <c r="I24" s="86">
        <v>0.5</v>
      </c>
      <c r="J24" s="86">
        <v>7</v>
      </c>
      <c r="K24" s="86">
        <f t="shared" si="22"/>
        <v>0.1</v>
      </c>
      <c r="L24" s="86">
        <f t="shared" si="23"/>
        <v>11.03</v>
      </c>
      <c r="M24" s="86">
        <f t="shared" si="24"/>
        <v>18.7</v>
      </c>
      <c r="N24" s="86">
        <f t="shared" si="25"/>
        <v>51.14</v>
      </c>
      <c r="O24" s="86">
        <f t="shared" si="26"/>
        <v>19.420000000000002</v>
      </c>
      <c r="P24" s="86">
        <f t="shared" si="27"/>
        <v>59.24</v>
      </c>
      <c r="Q24" s="7" t="s">
        <v>49</v>
      </c>
      <c r="R24" s="7"/>
      <c r="S24" s="7"/>
      <c r="T24" s="7"/>
      <c r="U24" s="7"/>
      <c r="V24" s="7"/>
      <c r="W24" s="78"/>
      <c r="Y24" s="86" t="s">
        <v>333</v>
      </c>
      <c r="Z24" s="86" t="s">
        <v>284</v>
      </c>
      <c r="AA24" s="86" t="s">
        <v>337</v>
      </c>
      <c r="AB24" s="87">
        <f t="shared" si="19"/>
        <v>1405</v>
      </c>
      <c r="AC24" s="86">
        <v>1</v>
      </c>
      <c r="AD24" s="86">
        <v>10</v>
      </c>
      <c r="AE24" s="100">
        <v>20.91</v>
      </c>
      <c r="AF24" s="86">
        <f t="shared" si="3"/>
        <v>0.125</v>
      </c>
      <c r="AG24" s="100">
        <v>48.81</v>
      </c>
      <c r="AH24" s="91">
        <v>0.375</v>
      </c>
      <c r="AI24" s="91">
        <v>0.25</v>
      </c>
    </row>
    <row r="25" spans="1:35" x14ac:dyDescent="0.25">
      <c r="A25" s="78"/>
      <c r="B25" s="78"/>
      <c r="E25" s="78"/>
      <c r="I25" s="78"/>
      <c r="J25" s="78"/>
      <c r="K25" s="78"/>
      <c r="M25" s="78"/>
      <c r="W25" s="78"/>
      <c r="Y25" s="86" t="s">
        <v>346</v>
      </c>
      <c r="Z25" s="86" t="s">
        <v>285</v>
      </c>
      <c r="AA25" s="86" t="s">
        <v>337</v>
      </c>
      <c r="AB25" s="87">
        <f t="shared" si="19"/>
        <v>1710</v>
      </c>
      <c r="AC25" s="86">
        <v>1</v>
      </c>
      <c r="AD25" s="86">
        <v>7</v>
      </c>
      <c r="AE25" s="100">
        <v>11.04</v>
      </c>
      <c r="AF25" s="86">
        <f t="shared" si="3"/>
        <v>0.10999999999999999</v>
      </c>
      <c r="AG25" s="100">
        <v>55.38</v>
      </c>
      <c r="AH25" s="91">
        <v>0.36</v>
      </c>
      <c r="AI25" s="91">
        <v>0.25</v>
      </c>
    </row>
    <row r="26" spans="1:35" x14ac:dyDescent="0.25">
      <c r="A26" s="88" t="s">
        <v>373</v>
      </c>
      <c r="B26" s="78"/>
      <c r="E26" s="78"/>
      <c r="F26" s="78"/>
      <c r="I26" s="78"/>
      <c r="J26" s="78"/>
      <c r="K26" s="78"/>
      <c r="M26" s="16" t="s">
        <v>367</v>
      </c>
      <c r="N26" s="16" t="s">
        <v>368</v>
      </c>
      <c r="O26" s="16" t="s">
        <v>369</v>
      </c>
      <c r="P26" s="16" t="s">
        <v>370</v>
      </c>
      <c r="Q26" s="16"/>
      <c r="R26" s="16"/>
      <c r="S26" s="16"/>
      <c r="T26" s="16"/>
      <c r="U26" s="16"/>
      <c r="V26" s="16"/>
      <c r="W26" s="78"/>
      <c r="Y26" s="86" t="s">
        <v>347</v>
      </c>
      <c r="Z26" s="86" t="s">
        <v>286</v>
      </c>
      <c r="AA26" s="86" t="s">
        <v>337</v>
      </c>
      <c r="AB26" s="87">
        <f t="shared" si="19"/>
        <v>1800</v>
      </c>
      <c r="AC26" s="86">
        <v>1</v>
      </c>
      <c r="AD26" s="86">
        <v>7.5</v>
      </c>
      <c r="AE26" s="100">
        <v>12.53</v>
      </c>
      <c r="AF26" s="86">
        <f t="shared" si="3"/>
        <v>0.121</v>
      </c>
      <c r="AG26" s="100">
        <v>57.35</v>
      </c>
      <c r="AH26" s="91">
        <v>0.371</v>
      </c>
      <c r="AI26" s="91">
        <v>0.25</v>
      </c>
    </row>
    <row r="27" spans="1:35" x14ac:dyDescent="0.25">
      <c r="A27" s="86" t="s">
        <v>326</v>
      </c>
      <c r="B27" s="86" t="s">
        <v>334</v>
      </c>
      <c r="C27" s="86" t="s">
        <v>336</v>
      </c>
      <c r="D27" s="86" t="s">
        <v>335</v>
      </c>
      <c r="E27" s="86" t="s">
        <v>361</v>
      </c>
      <c r="F27" s="86" t="s">
        <v>363</v>
      </c>
      <c r="G27" s="86" t="s">
        <v>362</v>
      </c>
      <c r="H27" s="86" t="s">
        <v>364</v>
      </c>
      <c r="I27" s="86" t="s">
        <v>328</v>
      </c>
      <c r="J27" s="86" t="s">
        <v>357</v>
      </c>
      <c r="K27" s="86" t="s">
        <v>355</v>
      </c>
      <c r="L27" s="86" t="s">
        <v>358</v>
      </c>
      <c r="M27" s="86" t="s">
        <v>359</v>
      </c>
      <c r="N27" s="86" t="s">
        <v>360</v>
      </c>
      <c r="O27" s="86" t="s">
        <v>365</v>
      </c>
      <c r="P27" s="86" t="s">
        <v>366</v>
      </c>
      <c r="Q27" s="7"/>
      <c r="R27" s="7"/>
      <c r="S27" s="7"/>
      <c r="T27" s="7"/>
      <c r="U27" s="7"/>
      <c r="V27" s="7"/>
      <c r="W27" s="78"/>
      <c r="Y27" s="86" t="s">
        <v>327</v>
      </c>
      <c r="Z27" s="86" t="s">
        <v>281</v>
      </c>
      <c r="AA27" s="86" t="s">
        <v>337</v>
      </c>
      <c r="AB27" s="87">
        <f t="shared" ref="AB27:AB32" si="28">E12</f>
        <v>318.75</v>
      </c>
      <c r="AC27" s="86">
        <v>2</v>
      </c>
      <c r="AD27" s="89">
        <v>1</v>
      </c>
      <c r="AE27" s="100">
        <v>1.21</v>
      </c>
      <c r="AF27" s="86">
        <f t="shared" si="3"/>
        <v>2.300000000000002E-2</v>
      </c>
      <c r="AG27" s="100">
        <v>23.1</v>
      </c>
      <c r="AH27" s="91">
        <v>0.27300000000000002</v>
      </c>
      <c r="AI27" s="91">
        <v>0.25</v>
      </c>
    </row>
    <row r="28" spans="1:35" x14ac:dyDescent="0.25">
      <c r="A28" s="86" t="s">
        <v>339</v>
      </c>
      <c r="B28" s="86" t="s">
        <v>282</v>
      </c>
      <c r="C28" s="86" t="s">
        <v>338</v>
      </c>
      <c r="D28" s="86">
        <v>2</v>
      </c>
      <c r="E28" s="87">
        <f>'FP Background Data'!Q12*0.75</f>
        <v>776.25</v>
      </c>
      <c r="F28" s="87">
        <f>'FP Background Data'!Q12</f>
        <v>1035</v>
      </c>
      <c r="G28" s="86">
        <f>AF70</f>
        <v>8.7000000000000022E-2</v>
      </c>
      <c r="H28" s="86">
        <f>AF78</f>
        <v>0.13900000000000001</v>
      </c>
      <c r="I28" s="86">
        <v>1</v>
      </c>
      <c r="J28" s="86">
        <v>10</v>
      </c>
      <c r="K28" s="86">
        <f>AE70</f>
        <v>0.33</v>
      </c>
      <c r="L28" s="86">
        <f>AE74</f>
        <v>24.91</v>
      </c>
      <c r="M28" s="86">
        <f>AG70</f>
        <v>33.67</v>
      </c>
      <c r="N28" s="86">
        <f>AG74</f>
        <v>58.38</v>
      </c>
      <c r="O28" s="86">
        <f>AG78</f>
        <v>36.229999999999997</v>
      </c>
      <c r="P28" s="86">
        <f>AG82</f>
        <v>69.849999999999994</v>
      </c>
      <c r="Q28" s="7" t="s">
        <v>49</v>
      </c>
      <c r="R28" s="7"/>
      <c r="S28" s="7"/>
      <c r="T28" s="7"/>
      <c r="U28" s="7"/>
      <c r="V28" s="7"/>
      <c r="W28" s="78"/>
      <c r="Y28" s="86" t="s">
        <v>331</v>
      </c>
      <c r="Z28" s="86" t="s">
        <v>282</v>
      </c>
      <c r="AA28" s="86" t="s">
        <v>337</v>
      </c>
      <c r="AB28" s="87">
        <f t="shared" si="28"/>
        <v>757.5</v>
      </c>
      <c r="AC28" s="86">
        <v>2</v>
      </c>
      <c r="AD28" s="86">
        <v>1</v>
      </c>
      <c r="AE28" s="100">
        <v>0.33</v>
      </c>
      <c r="AF28" s="86">
        <f t="shared" si="3"/>
        <v>8.4000000000000019E-2</v>
      </c>
      <c r="AG28" s="100">
        <v>33.44</v>
      </c>
      <c r="AH28" s="91">
        <v>0.33400000000000002</v>
      </c>
      <c r="AI28" s="91">
        <v>0.25</v>
      </c>
    </row>
    <row r="29" spans="1:35" x14ac:dyDescent="0.25">
      <c r="A29" s="86" t="s">
        <v>340</v>
      </c>
      <c r="B29" s="86" t="s">
        <v>283</v>
      </c>
      <c r="C29" s="86" t="s">
        <v>338</v>
      </c>
      <c r="D29" s="86">
        <v>2</v>
      </c>
      <c r="E29" s="87">
        <f>'FP Background Data'!Q13*0.75</f>
        <v>1061.25</v>
      </c>
      <c r="F29" s="87">
        <f>'FP Background Data'!Q13</f>
        <v>1415</v>
      </c>
      <c r="G29" s="86">
        <f t="shared" ref="G29:G31" si="29">AF71</f>
        <v>0.14400000000000002</v>
      </c>
      <c r="H29" s="86">
        <f t="shared" ref="H29:H31" si="30">AF79</f>
        <v>0.23399999999999999</v>
      </c>
      <c r="I29" s="86">
        <v>1</v>
      </c>
      <c r="J29" s="86">
        <v>10</v>
      </c>
      <c r="K29" s="86">
        <f t="shared" ref="K29:K30" si="31">AE71</f>
        <v>0.33</v>
      </c>
      <c r="L29" s="86">
        <f t="shared" ref="L29:L31" si="32">AE75</f>
        <v>24.92</v>
      </c>
      <c r="M29" s="86">
        <f t="shared" ref="M29:M31" si="33">AG71</f>
        <v>36.43</v>
      </c>
      <c r="N29" s="86">
        <f t="shared" ref="N29:N31" si="34">AG75</f>
        <v>70.88</v>
      </c>
      <c r="O29" s="86">
        <f t="shared" ref="O29:O31" si="35">AG79</f>
        <v>38.53</v>
      </c>
      <c r="P29" s="86">
        <f t="shared" ref="P29:P31" si="36">AG83</f>
        <v>83.19</v>
      </c>
      <c r="Q29" s="7" t="s">
        <v>49</v>
      </c>
      <c r="R29" s="7"/>
      <c r="S29" s="7"/>
      <c r="T29" s="7"/>
      <c r="U29" s="7"/>
      <c r="V29" s="7"/>
      <c r="W29" s="78"/>
      <c r="Y29" s="86" t="s">
        <v>332</v>
      </c>
      <c r="Z29" s="86" t="s">
        <v>283</v>
      </c>
      <c r="AA29" s="86" t="s">
        <v>337</v>
      </c>
      <c r="AB29" s="87">
        <f t="shared" si="28"/>
        <v>888.75</v>
      </c>
      <c r="AC29" s="86">
        <v>2</v>
      </c>
      <c r="AD29" s="86">
        <v>1</v>
      </c>
      <c r="AE29" s="100">
        <v>0.33</v>
      </c>
      <c r="AF29" s="86">
        <f t="shared" si="3"/>
        <v>0.10799999999999998</v>
      </c>
      <c r="AG29" s="100">
        <v>34.94</v>
      </c>
      <c r="AH29" s="91">
        <v>0.35799999999999998</v>
      </c>
      <c r="AI29" s="91">
        <v>0.25</v>
      </c>
    </row>
    <row r="30" spans="1:35" x14ac:dyDescent="0.25">
      <c r="A30" s="86" t="s">
        <v>341</v>
      </c>
      <c r="B30" s="86" t="s">
        <v>284</v>
      </c>
      <c r="C30" s="86" t="s">
        <v>338</v>
      </c>
      <c r="D30" s="86">
        <v>2</v>
      </c>
      <c r="E30" s="87">
        <f>'FP Background Data'!Q14*0.75</f>
        <v>1091.25</v>
      </c>
      <c r="F30" s="87">
        <f>'FP Background Data'!Q14</f>
        <v>1455</v>
      </c>
      <c r="G30" s="86">
        <f t="shared" si="29"/>
        <v>0.15100000000000002</v>
      </c>
      <c r="H30" s="86">
        <f t="shared" si="30"/>
        <v>0.246</v>
      </c>
      <c r="I30" s="86">
        <v>1</v>
      </c>
      <c r="J30" s="86">
        <v>10</v>
      </c>
      <c r="K30" s="86">
        <f t="shared" si="31"/>
        <v>0.33</v>
      </c>
      <c r="L30" s="86">
        <f t="shared" si="32"/>
        <v>24.92</v>
      </c>
      <c r="M30" s="86">
        <f t="shared" si="33"/>
        <v>36.659999999999997</v>
      </c>
      <c r="N30" s="86">
        <f t="shared" si="34"/>
        <v>72.05</v>
      </c>
      <c r="O30" s="86">
        <f t="shared" si="35"/>
        <v>38.71</v>
      </c>
      <c r="P30" s="86">
        <f t="shared" si="36"/>
        <v>84.41</v>
      </c>
      <c r="Q30" s="7" t="s">
        <v>49</v>
      </c>
      <c r="R30" s="7"/>
      <c r="S30" s="7"/>
      <c r="T30" s="7"/>
      <c r="U30" s="7"/>
      <c r="V30" s="7"/>
      <c r="W30" s="78"/>
      <c r="Y30" s="86" t="s">
        <v>333</v>
      </c>
      <c r="Z30" s="86" t="s">
        <v>284</v>
      </c>
      <c r="AA30" s="86" t="s">
        <v>337</v>
      </c>
      <c r="AB30" s="87">
        <f t="shared" si="28"/>
        <v>982.5</v>
      </c>
      <c r="AC30" s="86">
        <v>2</v>
      </c>
      <c r="AD30" s="86">
        <v>1</v>
      </c>
      <c r="AE30" s="100">
        <v>0.33</v>
      </c>
      <c r="AF30" s="86">
        <f t="shared" si="3"/>
        <v>0.127</v>
      </c>
      <c r="AG30" s="100">
        <v>35.81</v>
      </c>
      <c r="AH30" s="91">
        <v>0.377</v>
      </c>
      <c r="AI30" s="91">
        <v>0.25</v>
      </c>
    </row>
    <row r="31" spans="1:35" x14ac:dyDescent="0.25">
      <c r="A31" s="86" t="s">
        <v>339</v>
      </c>
      <c r="B31" s="86" t="s">
        <v>285</v>
      </c>
      <c r="C31" s="86" t="s">
        <v>338</v>
      </c>
      <c r="D31" s="86">
        <v>2</v>
      </c>
      <c r="E31" s="87">
        <f>'FP Background Data'!Q15*0.75</f>
        <v>1383.75</v>
      </c>
      <c r="F31" s="87">
        <f>'FP Background Data'!Q15</f>
        <v>1845</v>
      </c>
      <c r="G31" s="86">
        <f t="shared" si="29"/>
        <v>0.14400000000000002</v>
      </c>
      <c r="H31" s="86">
        <f t="shared" si="30"/>
        <v>0.23399999999999999</v>
      </c>
      <c r="I31" s="86">
        <v>1</v>
      </c>
      <c r="J31" s="86">
        <v>7</v>
      </c>
      <c r="K31" s="86">
        <f>AE73</f>
        <v>0.62</v>
      </c>
      <c r="L31" s="86">
        <f t="shared" si="32"/>
        <v>18.91</v>
      </c>
      <c r="M31" s="86">
        <f t="shared" si="33"/>
        <v>42.12</v>
      </c>
      <c r="N31" s="86">
        <f t="shared" si="34"/>
        <v>83.55</v>
      </c>
      <c r="O31" s="86">
        <f t="shared" si="35"/>
        <v>44.11</v>
      </c>
      <c r="P31" s="86">
        <f t="shared" si="36"/>
        <v>96.53</v>
      </c>
      <c r="Q31" s="7" t="s">
        <v>49</v>
      </c>
      <c r="R31" s="7"/>
      <c r="S31" s="7"/>
      <c r="T31" s="7"/>
      <c r="U31" s="7"/>
      <c r="V31" s="7"/>
      <c r="W31" s="78"/>
      <c r="Y31" s="86" t="s">
        <v>346</v>
      </c>
      <c r="Z31" s="86" t="s">
        <v>285</v>
      </c>
      <c r="AA31" s="86" t="s">
        <v>337</v>
      </c>
      <c r="AB31" s="87">
        <f t="shared" si="28"/>
        <v>1200</v>
      </c>
      <c r="AC31" s="86">
        <v>2</v>
      </c>
      <c r="AD31" s="86">
        <v>1</v>
      </c>
      <c r="AE31" s="100">
        <v>0.62</v>
      </c>
      <c r="AF31" s="86">
        <f t="shared" si="3"/>
        <v>0.11399999999999999</v>
      </c>
      <c r="AG31" s="100">
        <v>40.950000000000003</v>
      </c>
      <c r="AH31" s="91">
        <v>0.36399999999999999</v>
      </c>
      <c r="AI31" s="91">
        <v>0.25</v>
      </c>
    </row>
    <row r="32" spans="1:35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8"/>
      <c r="Y32" s="86" t="s">
        <v>347</v>
      </c>
      <c r="Z32" s="86" t="s">
        <v>286</v>
      </c>
      <c r="AA32" s="86" t="s">
        <v>337</v>
      </c>
      <c r="AB32" s="87">
        <f t="shared" si="28"/>
        <v>1245</v>
      </c>
      <c r="AC32" s="86">
        <v>2</v>
      </c>
      <c r="AD32" s="86">
        <v>1</v>
      </c>
      <c r="AE32" s="100">
        <v>0.62</v>
      </c>
      <c r="AF32" s="86">
        <f t="shared" si="3"/>
        <v>0.121</v>
      </c>
      <c r="AG32" s="100">
        <v>41.27</v>
      </c>
      <c r="AH32" s="91">
        <v>0.371</v>
      </c>
      <c r="AI32" s="91">
        <v>0.25</v>
      </c>
    </row>
    <row r="33" spans="1:35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8"/>
      <c r="Y33" s="86" t="s">
        <v>327</v>
      </c>
      <c r="Z33" s="86" t="s">
        <v>281</v>
      </c>
      <c r="AA33" s="86" t="s">
        <v>337</v>
      </c>
      <c r="AB33" s="87">
        <f t="shared" ref="AB33:AB38" si="37">E12</f>
        <v>318.75</v>
      </c>
      <c r="AC33" s="86">
        <v>2</v>
      </c>
      <c r="AD33" s="89">
        <v>1</v>
      </c>
      <c r="AE33" s="100">
        <v>1.21</v>
      </c>
      <c r="AF33" s="86">
        <f t="shared" si="3"/>
        <v>2.300000000000002E-2</v>
      </c>
      <c r="AG33" s="100">
        <v>23.1</v>
      </c>
      <c r="AH33" s="91">
        <v>0.27300000000000002</v>
      </c>
      <c r="AI33" s="91">
        <v>0.25</v>
      </c>
    </row>
    <row r="34" spans="1:35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8"/>
      <c r="Y34" s="86" t="s">
        <v>331</v>
      </c>
      <c r="Z34" s="86" t="s">
        <v>282</v>
      </c>
      <c r="AA34" s="86" t="s">
        <v>337</v>
      </c>
      <c r="AB34" s="87">
        <f t="shared" si="37"/>
        <v>757.5</v>
      </c>
      <c r="AC34" s="86">
        <v>2</v>
      </c>
      <c r="AD34" s="86">
        <v>10</v>
      </c>
      <c r="AE34" s="100">
        <v>24.91</v>
      </c>
      <c r="AF34" s="86">
        <f t="shared" si="3"/>
        <v>8.4000000000000019E-2</v>
      </c>
      <c r="AG34" s="100">
        <v>57.49</v>
      </c>
      <c r="AH34" s="91">
        <v>0.33400000000000002</v>
      </c>
      <c r="AI34" s="91">
        <v>0.25</v>
      </c>
    </row>
    <row r="35" spans="1:35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8"/>
      <c r="Y35" s="86" t="s">
        <v>332</v>
      </c>
      <c r="Z35" s="86" t="s">
        <v>283</v>
      </c>
      <c r="AA35" s="86" t="s">
        <v>337</v>
      </c>
      <c r="AB35" s="87">
        <f t="shared" si="37"/>
        <v>888.75</v>
      </c>
      <c r="AC35" s="86">
        <v>2</v>
      </c>
      <c r="AD35" s="86">
        <v>10</v>
      </c>
      <c r="AE35" s="100">
        <v>24.92</v>
      </c>
      <c r="AF35" s="86">
        <f t="shared" si="3"/>
        <v>0.10799999999999998</v>
      </c>
      <c r="AG35" s="100">
        <v>63.68</v>
      </c>
      <c r="AH35" s="91">
        <v>0.35799999999999998</v>
      </c>
      <c r="AI35" s="91">
        <v>0.25</v>
      </c>
    </row>
    <row r="36" spans="1:35" x14ac:dyDescent="0.25">
      <c r="D36"/>
      <c r="Y36" s="86" t="s">
        <v>333</v>
      </c>
      <c r="Z36" s="86" t="s">
        <v>284</v>
      </c>
      <c r="AA36" s="86" t="s">
        <v>337</v>
      </c>
      <c r="AB36" s="87">
        <f t="shared" si="37"/>
        <v>982.5</v>
      </c>
      <c r="AC36" s="86">
        <v>2</v>
      </c>
      <c r="AD36" s="86">
        <v>10</v>
      </c>
      <c r="AE36" s="100">
        <v>24.92</v>
      </c>
      <c r="AF36" s="86">
        <f t="shared" si="3"/>
        <v>0.127</v>
      </c>
      <c r="AG36" s="100">
        <v>67.73</v>
      </c>
      <c r="AH36" s="91">
        <v>0.377</v>
      </c>
      <c r="AI36" s="91">
        <v>0.25</v>
      </c>
    </row>
    <row r="37" spans="1:35" x14ac:dyDescent="0.25">
      <c r="W37" s="78"/>
      <c r="Y37" s="86" t="s">
        <v>346</v>
      </c>
      <c r="Z37" s="86" t="s">
        <v>285</v>
      </c>
      <c r="AA37" s="86" t="s">
        <v>337</v>
      </c>
      <c r="AB37" s="87">
        <f t="shared" si="37"/>
        <v>1200</v>
      </c>
      <c r="AC37" s="86">
        <v>2</v>
      </c>
      <c r="AD37" s="86">
        <v>7</v>
      </c>
      <c r="AE37" s="100">
        <v>18.899999999999999</v>
      </c>
      <c r="AF37" s="86">
        <f t="shared" si="3"/>
        <v>0.11399999999999999</v>
      </c>
      <c r="AG37" s="100">
        <v>77.239999999999995</v>
      </c>
      <c r="AH37" s="91">
        <v>0.36399999999999999</v>
      </c>
      <c r="AI37" s="91">
        <v>0.25</v>
      </c>
    </row>
    <row r="38" spans="1:35" x14ac:dyDescent="0.25">
      <c r="W38" s="78"/>
      <c r="Y38" s="86" t="s">
        <v>347</v>
      </c>
      <c r="Z38" s="86" t="s">
        <v>286</v>
      </c>
      <c r="AA38" s="86" t="s">
        <v>337</v>
      </c>
      <c r="AB38" s="87">
        <f t="shared" si="37"/>
        <v>1245</v>
      </c>
      <c r="AC38" s="86">
        <v>2</v>
      </c>
      <c r="AD38" s="86">
        <v>7.5</v>
      </c>
      <c r="AE38" s="100">
        <v>21.39</v>
      </c>
      <c r="AF38" s="86">
        <f t="shared" si="3"/>
        <v>0.121</v>
      </c>
      <c r="AG38" s="100">
        <v>79.5</v>
      </c>
      <c r="AH38" s="91">
        <v>0.371</v>
      </c>
      <c r="AI38" s="91">
        <v>0.25</v>
      </c>
    </row>
    <row r="39" spans="1:35" x14ac:dyDescent="0.25">
      <c r="W39" s="78"/>
      <c r="Y39" s="86" t="s">
        <v>327</v>
      </c>
      <c r="Z39" s="86" t="s">
        <v>281</v>
      </c>
      <c r="AA39" s="86" t="s">
        <v>337</v>
      </c>
      <c r="AB39" s="87">
        <f t="shared" ref="AB39:AB44" si="38">F12</f>
        <v>425</v>
      </c>
      <c r="AC39" s="86">
        <v>2</v>
      </c>
      <c r="AD39" s="89">
        <v>1</v>
      </c>
      <c r="AE39" s="100">
        <v>1.22</v>
      </c>
      <c r="AF39" s="86">
        <f t="shared" si="3"/>
        <v>3.6999999999999977E-2</v>
      </c>
      <c r="AG39" s="100">
        <v>26.87</v>
      </c>
      <c r="AH39" s="91">
        <v>0.28699999999999998</v>
      </c>
      <c r="AI39" s="91">
        <v>0.25</v>
      </c>
    </row>
    <row r="40" spans="1:35" x14ac:dyDescent="0.25">
      <c r="W40" s="78"/>
      <c r="Y40" s="86" t="s">
        <v>331</v>
      </c>
      <c r="Z40" s="86" t="s">
        <v>282</v>
      </c>
      <c r="AA40" s="86" t="s">
        <v>337</v>
      </c>
      <c r="AB40" s="87">
        <f t="shared" si="38"/>
        <v>1010</v>
      </c>
      <c r="AC40" s="86">
        <v>2</v>
      </c>
      <c r="AD40" s="86">
        <v>1</v>
      </c>
      <c r="AE40" s="100">
        <v>0.33</v>
      </c>
      <c r="AF40" s="86">
        <f t="shared" si="3"/>
        <v>0.13300000000000001</v>
      </c>
      <c r="AG40" s="100">
        <v>36.03</v>
      </c>
      <c r="AH40" s="91">
        <v>0.38300000000000001</v>
      </c>
      <c r="AI40" s="91">
        <v>0.25</v>
      </c>
    </row>
    <row r="41" spans="1:35" x14ac:dyDescent="0.25">
      <c r="W41" s="78"/>
      <c r="Y41" s="86" t="s">
        <v>332</v>
      </c>
      <c r="Z41" s="86" t="s">
        <v>283</v>
      </c>
      <c r="AA41" s="86" t="s">
        <v>337</v>
      </c>
      <c r="AB41" s="87">
        <f t="shared" si="38"/>
        <v>1185</v>
      </c>
      <c r="AC41" s="86">
        <v>2</v>
      </c>
      <c r="AD41" s="86">
        <v>1</v>
      </c>
      <c r="AE41" s="100">
        <v>0.33</v>
      </c>
      <c r="AF41" s="86">
        <f t="shared" si="3"/>
        <v>0.17399999999999999</v>
      </c>
      <c r="AG41" s="100">
        <v>37.29</v>
      </c>
      <c r="AH41" s="91">
        <v>0.42399999999999999</v>
      </c>
      <c r="AI41" s="91">
        <v>0.25</v>
      </c>
    </row>
    <row r="42" spans="1:35" x14ac:dyDescent="0.25">
      <c r="W42" s="78"/>
      <c r="Y42" s="86" t="s">
        <v>333</v>
      </c>
      <c r="Z42" s="86" t="s">
        <v>284</v>
      </c>
      <c r="AA42" s="86" t="s">
        <v>337</v>
      </c>
      <c r="AB42" s="87">
        <f t="shared" si="38"/>
        <v>1310</v>
      </c>
      <c r="AC42" s="86">
        <v>2</v>
      </c>
      <c r="AD42" s="86">
        <v>1</v>
      </c>
      <c r="AE42" s="100">
        <v>0.33</v>
      </c>
      <c r="AF42" s="86">
        <f t="shared" si="3"/>
        <v>0.20500000000000002</v>
      </c>
      <c r="AG42" s="100">
        <v>38.01</v>
      </c>
      <c r="AH42" s="91">
        <v>0.45500000000000002</v>
      </c>
      <c r="AI42" s="91">
        <v>0.25</v>
      </c>
    </row>
    <row r="43" spans="1:35" x14ac:dyDescent="0.25">
      <c r="W43" s="78"/>
      <c r="Y43" s="86" t="s">
        <v>346</v>
      </c>
      <c r="Z43" s="86" t="s">
        <v>285</v>
      </c>
      <c r="AA43" s="86" t="s">
        <v>337</v>
      </c>
      <c r="AB43" s="87">
        <f t="shared" si="38"/>
        <v>1600</v>
      </c>
      <c r="AC43" s="86">
        <v>2</v>
      </c>
      <c r="AD43" s="86">
        <v>1</v>
      </c>
      <c r="AE43" s="100">
        <v>0.63</v>
      </c>
      <c r="AF43" s="86">
        <f t="shared" si="3"/>
        <v>0.184</v>
      </c>
      <c r="AG43" s="100">
        <v>43.18</v>
      </c>
      <c r="AH43" s="91">
        <v>0.434</v>
      </c>
      <c r="AI43" s="91">
        <v>0.25</v>
      </c>
    </row>
    <row r="44" spans="1:35" x14ac:dyDescent="0.25">
      <c r="W44" s="78"/>
      <c r="Y44" s="86" t="s">
        <v>347</v>
      </c>
      <c r="Z44" s="86" t="s">
        <v>286</v>
      </c>
      <c r="AA44" s="86" t="s">
        <v>337</v>
      </c>
      <c r="AB44" s="87">
        <f t="shared" si="38"/>
        <v>1660</v>
      </c>
      <c r="AC44" s="86">
        <v>2</v>
      </c>
      <c r="AD44" s="86">
        <v>1</v>
      </c>
      <c r="AE44" s="100">
        <v>0.63</v>
      </c>
      <c r="AF44" s="86">
        <f t="shared" si="3"/>
        <v>0.19500000000000001</v>
      </c>
      <c r="AG44" s="100">
        <v>43.43</v>
      </c>
      <c r="AH44" s="91">
        <v>0.44500000000000001</v>
      </c>
      <c r="AI44" s="91">
        <v>0.25</v>
      </c>
    </row>
    <row r="45" spans="1:35" x14ac:dyDescent="0.25">
      <c r="W45" s="78"/>
      <c r="Y45" s="86" t="s">
        <v>327</v>
      </c>
      <c r="Z45" s="86" t="s">
        <v>281</v>
      </c>
      <c r="AA45" s="86" t="s">
        <v>337</v>
      </c>
      <c r="AB45" s="87">
        <f t="shared" ref="AB45:AB50" si="39">F12</f>
        <v>425</v>
      </c>
      <c r="AC45" s="86">
        <v>2</v>
      </c>
      <c r="AD45" s="89">
        <v>1</v>
      </c>
      <c r="AE45" s="100">
        <v>1.22</v>
      </c>
      <c r="AF45" s="86">
        <f t="shared" si="3"/>
        <v>3.6999999999999977E-2</v>
      </c>
      <c r="AG45" s="100">
        <v>26.87</v>
      </c>
      <c r="AH45" s="91">
        <v>0.28699999999999998</v>
      </c>
      <c r="AI45" s="91">
        <v>0.25</v>
      </c>
    </row>
    <row r="46" spans="1:35" x14ac:dyDescent="0.25">
      <c r="W46" s="78"/>
      <c r="Y46" s="86" t="s">
        <v>331</v>
      </c>
      <c r="Z46" s="86" t="s">
        <v>282</v>
      </c>
      <c r="AA46" s="86" t="s">
        <v>337</v>
      </c>
      <c r="AB46" s="87">
        <f t="shared" si="39"/>
        <v>1010</v>
      </c>
      <c r="AC46" s="86">
        <v>2</v>
      </c>
      <c r="AD46" s="86">
        <v>10</v>
      </c>
      <c r="AE46" s="100">
        <v>24.92</v>
      </c>
      <c r="AF46" s="86">
        <f t="shared" si="3"/>
        <v>0.13300000000000001</v>
      </c>
      <c r="AG46" s="100">
        <v>68.849999999999994</v>
      </c>
      <c r="AH46" s="91">
        <v>0.38300000000000001</v>
      </c>
      <c r="AI46" s="91">
        <v>0.25</v>
      </c>
    </row>
    <row r="47" spans="1:35" x14ac:dyDescent="0.25">
      <c r="W47" s="78"/>
      <c r="Y47" s="86" t="s">
        <v>332</v>
      </c>
      <c r="Z47" s="86" t="s">
        <v>283</v>
      </c>
      <c r="AA47" s="86" t="s">
        <v>337</v>
      </c>
      <c r="AB47" s="87">
        <f t="shared" si="39"/>
        <v>1185</v>
      </c>
      <c r="AC47" s="86">
        <v>2</v>
      </c>
      <c r="AD47" s="86">
        <v>10</v>
      </c>
      <c r="AE47" s="100">
        <v>24.92</v>
      </c>
      <c r="AF47" s="86">
        <f t="shared" si="3"/>
        <v>0.17399999999999999</v>
      </c>
      <c r="AG47" s="100">
        <v>75.540000000000006</v>
      </c>
      <c r="AH47" s="91">
        <v>0.42399999999999999</v>
      </c>
      <c r="AI47" s="91">
        <v>0.25</v>
      </c>
    </row>
    <row r="48" spans="1:35" x14ac:dyDescent="0.25">
      <c r="W48" s="78"/>
      <c r="Y48" s="86" t="s">
        <v>333</v>
      </c>
      <c r="Z48" s="86" t="s">
        <v>284</v>
      </c>
      <c r="AA48" s="86" t="s">
        <v>337</v>
      </c>
      <c r="AB48" s="87">
        <f t="shared" si="39"/>
        <v>1310</v>
      </c>
      <c r="AC48" s="86">
        <v>2</v>
      </c>
      <c r="AD48" s="86">
        <v>10</v>
      </c>
      <c r="AE48" s="100">
        <v>24.93</v>
      </c>
      <c r="AF48" s="86">
        <f t="shared" si="3"/>
        <v>0.20500000000000002</v>
      </c>
      <c r="AG48" s="100">
        <v>79.84</v>
      </c>
      <c r="AH48" s="91">
        <v>0.45500000000000002</v>
      </c>
      <c r="AI48" s="91">
        <v>0.25</v>
      </c>
    </row>
    <row r="49" spans="1:35" x14ac:dyDescent="0.25">
      <c r="W49" s="78"/>
      <c r="Y49" s="86" t="s">
        <v>346</v>
      </c>
      <c r="Z49" s="86" t="s">
        <v>285</v>
      </c>
      <c r="AA49" s="86" t="s">
        <v>337</v>
      </c>
      <c r="AB49" s="87">
        <f t="shared" si="39"/>
        <v>1600</v>
      </c>
      <c r="AC49" s="86">
        <v>2</v>
      </c>
      <c r="AD49" s="86">
        <v>7</v>
      </c>
      <c r="AE49" s="100">
        <v>18.93</v>
      </c>
      <c r="AF49" s="86">
        <f t="shared" si="3"/>
        <v>0.184</v>
      </c>
      <c r="AG49" s="100">
        <v>90.07</v>
      </c>
      <c r="AH49" s="91">
        <v>0.434</v>
      </c>
      <c r="AI49" s="91">
        <v>0.25</v>
      </c>
    </row>
    <row r="50" spans="1:35" x14ac:dyDescent="0.25">
      <c r="D50"/>
      <c r="Y50" s="86" t="s">
        <v>347</v>
      </c>
      <c r="Z50" s="86" t="s">
        <v>286</v>
      </c>
      <c r="AA50" s="86" t="s">
        <v>337</v>
      </c>
      <c r="AB50" s="87">
        <f t="shared" si="39"/>
        <v>1660</v>
      </c>
      <c r="AC50" s="86">
        <v>2</v>
      </c>
      <c r="AD50" s="86">
        <v>7.5</v>
      </c>
      <c r="AE50" s="100">
        <v>21.43</v>
      </c>
      <c r="AF50" s="86">
        <f t="shared" si="3"/>
        <v>0.19500000000000001</v>
      </c>
      <c r="AG50" s="100">
        <v>92.65</v>
      </c>
      <c r="AH50" s="91">
        <v>0.44500000000000001</v>
      </c>
      <c r="AI50" s="91">
        <v>0.25</v>
      </c>
    </row>
    <row r="51" spans="1:35" x14ac:dyDescent="0.25">
      <c r="A51" s="92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W51" s="78"/>
    </row>
    <row r="52" spans="1:35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8"/>
      <c r="Y52" s="88" t="s">
        <v>377</v>
      </c>
      <c r="AB52" s="78"/>
      <c r="AC52" s="78"/>
      <c r="AD52" s="78"/>
      <c r="AE52" s="78"/>
      <c r="AG52" s="78"/>
      <c r="AH52" s="78"/>
      <c r="AI52" s="78"/>
    </row>
    <row r="53" spans="1:35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8"/>
      <c r="Y53" s="86" t="s">
        <v>326</v>
      </c>
      <c r="Z53" s="86" t="s">
        <v>334</v>
      </c>
      <c r="AA53" s="86"/>
      <c r="AB53" s="86" t="s">
        <v>11</v>
      </c>
      <c r="AC53" s="86" t="s">
        <v>335</v>
      </c>
      <c r="AD53" s="86" t="s">
        <v>328</v>
      </c>
      <c r="AE53" s="86" t="s">
        <v>329</v>
      </c>
      <c r="AF53" s="86" t="s">
        <v>20</v>
      </c>
      <c r="AG53" s="86" t="s">
        <v>330</v>
      </c>
      <c r="AH53" s="90" t="s">
        <v>352</v>
      </c>
      <c r="AI53" s="90" t="s">
        <v>353</v>
      </c>
    </row>
    <row r="54" spans="1:35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8"/>
      <c r="Y54" s="86" t="s">
        <v>339</v>
      </c>
      <c r="Z54" s="86" t="s">
        <v>282</v>
      </c>
      <c r="AA54" s="86" t="s">
        <v>338</v>
      </c>
      <c r="AB54" s="87">
        <f>E21</f>
        <v>791.25</v>
      </c>
      <c r="AC54" s="86">
        <v>1</v>
      </c>
      <c r="AD54" s="86">
        <v>0.5</v>
      </c>
      <c r="AE54" s="94">
        <v>7.0000000000000007E-2</v>
      </c>
      <c r="AF54" s="86">
        <f>AH54-AI54</f>
        <v>4.4999999999999984E-2</v>
      </c>
      <c r="AG54" s="94">
        <v>14.22</v>
      </c>
      <c r="AH54" s="94">
        <v>0.29499999999999998</v>
      </c>
      <c r="AI54" s="94">
        <v>0.25</v>
      </c>
    </row>
    <row r="55" spans="1:35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8"/>
      <c r="Y55" s="86" t="s">
        <v>340</v>
      </c>
      <c r="Z55" s="86" t="s">
        <v>283</v>
      </c>
      <c r="AA55" s="86" t="s">
        <v>338</v>
      </c>
      <c r="AB55" s="87">
        <f t="shared" ref="AB55:AB57" si="40">E22</f>
        <v>1087.5</v>
      </c>
      <c r="AC55" s="86">
        <v>1</v>
      </c>
      <c r="AD55" s="86">
        <v>0.5</v>
      </c>
      <c r="AE55" s="94">
        <v>7.0000000000000007E-2</v>
      </c>
      <c r="AF55" s="86">
        <f t="shared" ref="AF55:AF85" si="41">AH55-AI55</f>
        <v>7.9000000000000015E-2</v>
      </c>
      <c r="AG55" s="94">
        <v>14.94</v>
      </c>
      <c r="AH55" s="94">
        <v>0.32900000000000001</v>
      </c>
      <c r="AI55" s="94">
        <v>0.25</v>
      </c>
    </row>
    <row r="56" spans="1:35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8"/>
      <c r="Y56" s="86" t="s">
        <v>341</v>
      </c>
      <c r="Z56" s="86" t="s">
        <v>284</v>
      </c>
      <c r="AA56" s="86" t="s">
        <v>338</v>
      </c>
      <c r="AB56" s="87">
        <f t="shared" si="40"/>
        <v>1245</v>
      </c>
      <c r="AC56" s="86">
        <v>1</v>
      </c>
      <c r="AD56" s="86">
        <v>0.5</v>
      </c>
      <c r="AE56" s="94">
        <v>7.0000000000000007E-2</v>
      </c>
      <c r="AF56" s="86">
        <f t="shared" si="41"/>
        <v>0.10099999999999998</v>
      </c>
      <c r="AG56" s="94">
        <v>15.23</v>
      </c>
      <c r="AH56" s="94">
        <v>0.35099999999999998</v>
      </c>
      <c r="AI56" s="94">
        <v>0.25</v>
      </c>
    </row>
    <row r="57" spans="1:35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W57" s="78"/>
      <c r="Y57" s="86" t="s">
        <v>375</v>
      </c>
      <c r="Z57" s="86" t="s">
        <v>285</v>
      </c>
      <c r="AA57" s="86" t="s">
        <v>338</v>
      </c>
      <c r="AB57" s="87">
        <f t="shared" si="40"/>
        <v>1462.5</v>
      </c>
      <c r="AC57" s="86">
        <v>1</v>
      </c>
      <c r="AD57" s="86">
        <v>0.5</v>
      </c>
      <c r="AE57" s="94">
        <v>0.1</v>
      </c>
      <c r="AF57" s="86">
        <f t="shared" si="41"/>
        <v>8.3000000000000018E-2</v>
      </c>
      <c r="AG57" s="94">
        <v>18.7</v>
      </c>
      <c r="AH57" s="94">
        <v>0.33300000000000002</v>
      </c>
      <c r="AI57" s="94">
        <v>0.25</v>
      </c>
    </row>
    <row r="58" spans="1:35" x14ac:dyDescent="0.25">
      <c r="A58" s="92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W58" s="78"/>
      <c r="Y58" s="86" t="s">
        <v>339</v>
      </c>
      <c r="Z58" s="86" t="s">
        <v>282</v>
      </c>
      <c r="AA58" s="86" t="s">
        <v>338</v>
      </c>
      <c r="AB58" s="87">
        <f>E21</f>
        <v>791.25</v>
      </c>
      <c r="AC58" s="86">
        <v>1</v>
      </c>
      <c r="AD58" s="86">
        <v>10</v>
      </c>
      <c r="AE58" s="94">
        <v>20.9</v>
      </c>
      <c r="AF58" s="86">
        <f t="shared" si="41"/>
        <v>4.4999999999999984E-2</v>
      </c>
      <c r="AG58" s="94">
        <v>35.979999999999997</v>
      </c>
      <c r="AH58" s="94">
        <v>0.29499999999999998</v>
      </c>
      <c r="AI58" s="94">
        <v>0.25</v>
      </c>
    </row>
    <row r="59" spans="1:35" x14ac:dyDescent="0.2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8"/>
      <c r="Y59" s="86" t="s">
        <v>340</v>
      </c>
      <c r="Z59" s="86" t="s">
        <v>283</v>
      </c>
      <c r="AA59" s="86" t="s">
        <v>338</v>
      </c>
      <c r="AB59" s="87">
        <f>E22</f>
        <v>1087.5</v>
      </c>
      <c r="AC59" s="86">
        <v>1</v>
      </c>
      <c r="AD59" s="86">
        <v>10</v>
      </c>
      <c r="AE59" s="94">
        <v>20.9</v>
      </c>
      <c r="AF59" s="86">
        <f t="shared" si="41"/>
        <v>7.9000000000000015E-2</v>
      </c>
      <c r="AG59" s="94">
        <v>42.58</v>
      </c>
      <c r="AH59" s="94">
        <v>0.32900000000000001</v>
      </c>
      <c r="AI59" s="94">
        <v>0.25</v>
      </c>
    </row>
    <row r="60" spans="1:35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8"/>
      <c r="Y60" s="86" t="s">
        <v>341</v>
      </c>
      <c r="Z60" s="86" t="s">
        <v>284</v>
      </c>
      <c r="AA60" s="86" t="s">
        <v>338</v>
      </c>
      <c r="AB60" s="87">
        <f>E23</f>
        <v>1245</v>
      </c>
      <c r="AC60" s="86">
        <v>1</v>
      </c>
      <c r="AD60" s="86">
        <v>10</v>
      </c>
      <c r="AE60" s="94">
        <v>20.91</v>
      </c>
      <c r="AF60" s="86">
        <f t="shared" si="41"/>
        <v>0.10099999999999998</v>
      </c>
      <c r="AG60" s="94">
        <v>45.75</v>
      </c>
      <c r="AH60" s="94">
        <v>0.35099999999999998</v>
      </c>
      <c r="AI60" s="94">
        <v>0.25</v>
      </c>
    </row>
    <row r="61" spans="1:35" x14ac:dyDescent="0.2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8"/>
      <c r="Y61" s="86" t="s">
        <v>375</v>
      </c>
      <c r="Z61" s="86" t="s">
        <v>285</v>
      </c>
      <c r="AA61" s="86" t="s">
        <v>338</v>
      </c>
      <c r="AB61" s="87">
        <f>E24</f>
        <v>1462.5</v>
      </c>
      <c r="AC61" s="86">
        <v>1</v>
      </c>
      <c r="AD61" s="86">
        <v>7</v>
      </c>
      <c r="AE61" s="94">
        <v>11.03</v>
      </c>
      <c r="AF61" s="86">
        <f t="shared" si="41"/>
        <v>8.3000000000000018E-2</v>
      </c>
      <c r="AG61" s="94">
        <v>51.14</v>
      </c>
      <c r="AH61" s="94">
        <v>0.33300000000000002</v>
      </c>
      <c r="AI61" s="94">
        <v>0.25</v>
      </c>
    </row>
    <row r="62" spans="1:35" x14ac:dyDescent="0.2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8"/>
      <c r="Y62" s="86" t="s">
        <v>339</v>
      </c>
      <c r="Z62" s="86" t="s">
        <v>282</v>
      </c>
      <c r="AA62" s="86" t="s">
        <v>338</v>
      </c>
      <c r="AB62" s="87">
        <f>F21</f>
        <v>1055</v>
      </c>
      <c r="AC62" s="86">
        <v>1</v>
      </c>
      <c r="AD62" s="86">
        <v>0.5</v>
      </c>
      <c r="AE62" s="94">
        <v>7.0000000000000007E-2</v>
      </c>
      <c r="AF62" s="86">
        <f t="shared" si="41"/>
        <v>7.5000000000000011E-2</v>
      </c>
      <c r="AG62" s="94">
        <v>14.88</v>
      </c>
      <c r="AH62" s="94">
        <v>0.32500000000000001</v>
      </c>
      <c r="AI62" s="94">
        <v>0.25</v>
      </c>
    </row>
    <row r="63" spans="1:35" x14ac:dyDescent="0.2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8"/>
      <c r="Y63" s="86" t="s">
        <v>340</v>
      </c>
      <c r="Z63" s="86" t="s">
        <v>283</v>
      </c>
      <c r="AA63" s="86" t="s">
        <v>338</v>
      </c>
      <c r="AB63" s="87">
        <f>F22</f>
        <v>1450</v>
      </c>
      <c r="AC63" s="86">
        <v>1</v>
      </c>
      <c r="AD63" s="86">
        <v>0.5</v>
      </c>
      <c r="AE63" s="94">
        <v>7.0000000000000007E-2</v>
      </c>
      <c r="AF63" s="86">
        <f t="shared" si="41"/>
        <v>0.13300000000000001</v>
      </c>
      <c r="AG63" s="94">
        <v>15.54</v>
      </c>
      <c r="AH63" s="94">
        <v>0.38300000000000001</v>
      </c>
      <c r="AI63" s="94">
        <v>0.25</v>
      </c>
    </row>
    <row r="64" spans="1:35" x14ac:dyDescent="0.25">
      <c r="Y64" s="86" t="s">
        <v>341</v>
      </c>
      <c r="Z64" s="86" t="s">
        <v>284</v>
      </c>
      <c r="AA64" s="86" t="s">
        <v>338</v>
      </c>
      <c r="AB64" s="87">
        <f>F23</f>
        <v>1660</v>
      </c>
      <c r="AC64" s="86">
        <v>1</v>
      </c>
      <c r="AD64" s="86">
        <v>0.5</v>
      </c>
      <c r="AE64" s="94">
        <v>7.0000000000000007E-2</v>
      </c>
      <c r="AF64" s="86">
        <f t="shared" si="41"/>
        <v>0.16999999999999998</v>
      </c>
      <c r="AG64" s="94">
        <v>15.81</v>
      </c>
      <c r="AH64" s="94">
        <v>0.42</v>
      </c>
      <c r="AI64" s="94">
        <v>0.25</v>
      </c>
    </row>
    <row r="65" spans="25:35" x14ac:dyDescent="0.25">
      <c r="Y65" s="86" t="s">
        <v>375</v>
      </c>
      <c r="Z65" s="86" t="s">
        <v>285</v>
      </c>
      <c r="AA65" s="86" t="s">
        <v>338</v>
      </c>
      <c r="AB65" s="87">
        <f>F24</f>
        <v>1950</v>
      </c>
      <c r="AC65" s="86">
        <v>1</v>
      </c>
      <c r="AD65" s="86">
        <v>0.5</v>
      </c>
      <c r="AE65" s="94">
        <v>0.1</v>
      </c>
      <c r="AF65" s="86">
        <f t="shared" si="41"/>
        <v>0.14000000000000001</v>
      </c>
      <c r="AG65" s="94">
        <v>19.420000000000002</v>
      </c>
      <c r="AH65" s="94">
        <v>0.39</v>
      </c>
      <c r="AI65" s="94">
        <v>0.25</v>
      </c>
    </row>
    <row r="66" spans="25:35" x14ac:dyDescent="0.25">
      <c r="Y66" s="86" t="s">
        <v>339</v>
      </c>
      <c r="Z66" s="86" t="s">
        <v>282</v>
      </c>
      <c r="AA66" s="86" t="s">
        <v>338</v>
      </c>
      <c r="AB66" s="87">
        <f>F21</f>
        <v>1055</v>
      </c>
      <c r="AC66" s="86">
        <v>1</v>
      </c>
      <c r="AD66" s="86">
        <v>10</v>
      </c>
      <c r="AE66" s="94">
        <v>20.9</v>
      </c>
      <c r="AF66" s="86">
        <f t="shared" si="41"/>
        <v>7.5000000000000011E-2</v>
      </c>
      <c r="AG66" s="94">
        <v>41.89</v>
      </c>
      <c r="AH66" s="94">
        <v>0.32500000000000001</v>
      </c>
      <c r="AI66" s="94">
        <v>0.25</v>
      </c>
    </row>
    <row r="67" spans="25:35" x14ac:dyDescent="0.25">
      <c r="Y67" s="86" t="s">
        <v>340</v>
      </c>
      <c r="Z67" s="86" t="s">
        <v>283</v>
      </c>
      <c r="AA67" s="86" t="s">
        <v>338</v>
      </c>
      <c r="AB67" s="87">
        <f t="shared" ref="AB67:AB69" si="42">F22</f>
        <v>1450</v>
      </c>
      <c r="AC67" s="86">
        <v>1</v>
      </c>
      <c r="AD67" s="86">
        <v>10</v>
      </c>
      <c r="AE67" s="94">
        <v>20.91</v>
      </c>
      <c r="AF67" s="86">
        <f t="shared" si="41"/>
        <v>0.13300000000000001</v>
      </c>
      <c r="AG67" s="94">
        <v>49.64</v>
      </c>
      <c r="AH67" s="94">
        <v>0.38300000000000001</v>
      </c>
      <c r="AI67" s="94">
        <v>0.25</v>
      </c>
    </row>
    <row r="68" spans="25:35" x14ac:dyDescent="0.25">
      <c r="Y68" s="86" t="s">
        <v>341</v>
      </c>
      <c r="Z68" s="86" t="s">
        <v>284</v>
      </c>
      <c r="AA68" s="86" t="s">
        <v>338</v>
      </c>
      <c r="AB68" s="87">
        <f t="shared" si="42"/>
        <v>1660</v>
      </c>
      <c r="AC68" s="86">
        <v>1</v>
      </c>
      <c r="AD68" s="86">
        <v>10</v>
      </c>
      <c r="AE68" s="94">
        <v>20.91</v>
      </c>
      <c r="AF68" s="86">
        <f t="shared" si="41"/>
        <v>0.16999999999999998</v>
      </c>
      <c r="AG68" s="94">
        <v>53.38</v>
      </c>
      <c r="AH68" s="94">
        <v>0.42</v>
      </c>
      <c r="AI68" s="94">
        <v>0.25</v>
      </c>
    </row>
    <row r="69" spans="25:35" x14ac:dyDescent="0.25">
      <c r="Y69" s="86" t="s">
        <v>375</v>
      </c>
      <c r="Z69" s="86" t="s">
        <v>285</v>
      </c>
      <c r="AA69" s="86" t="s">
        <v>338</v>
      </c>
      <c r="AB69" s="87">
        <f t="shared" si="42"/>
        <v>1950</v>
      </c>
      <c r="AC69" s="86">
        <v>1</v>
      </c>
      <c r="AD69" s="86">
        <v>7</v>
      </c>
      <c r="AE69" s="94">
        <v>11.05</v>
      </c>
      <c r="AF69" s="86">
        <f t="shared" si="41"/>
        <v>0.14000000000000001</v>
      </c>
      <c r="AG69" s="94">
        <v>59.24</v>
      </c>
      <c r="AH69" s="94">
        <v>0.39</v>
      </c>
      <c r="AI69" s="94">
        <v>0.25</v>
      </c>
    </row>
    <row r="70" spans="25:35" x14ac:dyDescent="0.25">
      <c r="Y70" s="86" t="s">
        <v>339</v>
      </c>
      <c r="Z70" s="86" t="s">
        <v>282</v>
      </c>
      <c r="AA70" s="86" t="s">
        <v>338</v>
      </c>
      <c r="AB70" s="87">
        <f>E28</f>
        <v>776.25</v>
      </c>
      <c r="AC70" s="86">
        <v>2</v>
      </c>
      <c r="AD70" s="86">
        <v>1</v>
      </c>
      <c r="AE70" s="94">
        <v>0.33</v>
      </c>
      <c r="AF70" s="86">
        <f t="shared" si="41"/>
        <v>8.7000000000000022E-2</v>
      </c>
      <c r="AG70" s="94">
        <v>33.67</v>
      </c>
      <c r="AH70" s="94">
        <v>0.33700000000000002</v>
      </c>
      <c r="AI70" s="94">
        <v>0.25</v>
      </c>
    </row>
    <row r="71" spans="25:35" x14ac:dyDescent="0.25">
      <c r="Y71" s="86" t="s">
        <v>340</v>
      </c>
      <c r="Z71" s="86" t="s">
        <v>283</v>
      </c>
      <c r="AA71" s="86" t="s">
        <v>338</v>
      </c>
      <c r="AB71" s="87">
        <f t="shared" ref="AB71:AB73" si="43">E29</f>
        <v>1061.25</v>
      </c>
      <c r="AC71" s="86">
        <v>2</v>
      </c>
      <c r="AD71" s="86">
        <v>1</v>
      </c>
      <c r="AE71" s="94">
        <v>0.33</v>
      </c>
      <c r="AF71" s="86">
        <f t="shared" si="41"/>
        <v>0.14400000000000002</v>
      </c>
      <c r="AG71" s="94">
        <v>36.43</v>
      </c>
      <c r="AH71" s="94">
        <v>0.39400000000000002</v>
      </c>
      <c r="AI71" s="94">
        <v>0.25</v>
      </c>
    </row>
    <row r="72" spans="25:35" x14ac:dyDescent="0.25">
      <c r="Y72" s="86" t="s">
        <v>341</v>
      </c>
      <c r="Z72" s="86" t="s">
        <v>284</v>
      </c>
      <c r="AA72" s="86" t="s">
        <v>338</v>
      </c>
      <c r="AB72" s="87">
        <f t="shared" si="43"/>
        <v>1091.25</v>
      </c>
      <c r="AC72" s="86">
        <v>2</v>
      </c>
      <c r="AD72" s="86">
        <v>1</v>
      </c>
      <c r="AE72" s="94">
        <v>0.33</v>
      </c>
      <c r="AF72" s="86">
        <f t="shared" si="41"/>
        <v>0.15100000000000002</v>
      </c>
      <c r="AG72" s="94">
        <v>36.659999999999997</v>
      </c>
      <c r="AH72" s="94">
        <v>0.40100000000000002</v>
      </c>
      <c r="AI72" s="94">
        <v>0.25</v>
      </c>
    </row>
    <row r="73" spans="25:35" x14ac:dyDescent="0.25">
      <c r="Y73" s="86" t="s">
        <v>375</v>
      </c>
      <c r="Z73" s="86" t="s">
        <v>285</v>
      </c>
      <c r="AA73" s="86" t="s">
        <v>338</v>
      </c>
      <c r="AB73" s="87">
        <f t="shared" si="43"/>
        <v>1383.75</v>
      </c>
      <c r="AC73" s="86">
        <v>2</v>
      </c>
      <c r="AD73" s="86">
        <v>1</v>
      </c>
      <c r="AE73" s="94">
        <v>0.62</v>
      </c>
      <c r="AF73" s="86">
        <f t="shared" si="41"/>
        <v>0.14400000000000002</v>
      </c>
      <c r="AG73" s="94">
        <v>42.12</v>
      </c>
      <c r="AH73" s="94">
        <v>0.39400000000000002</v>
      </c>
      <c r="AI73" s="94">
        <v>0.25</v>
      </c>
    </row>
    <row r="74" spans="25:35" x14ac:dyDescent="0.25">
      <c r="Y74" s="86" t="s">
        <v>339</v>
      </c>
      <c r="Z74" s="86" t="s">
        <v>282</v>
      </c>
      <c r="AA74" s="86" t="s">
        <v>338</v>
      </c>
      <c r="AB74" s="87">
        <f>E28</f>
        <v>776.25</v>
      </c>
      <c r="AC74" s="86">
        <v>2</v>
      </c>
      <c r="AD74" s="86">
        <v>10</v>
      </c>
      <c r="AE74" s="94">
        <v>24.91</v>
      </c>
      <c r="AF74" s="86">
        <f t="shared" si="41"/>
        <v>8.7000000000000022E-2</v>
      </c>
      <c r="AG74" s="94">
        <v>58.38</v>
      </c>
      <c r="AH74" s="94">
        <v>0.33700000000000002</v>
      </c>
      <c r="AI74" s="94">
        <v>0.25</v>
      </c>
    </row>
    <row r="75" spans="25:35" x14ac:dyDescent="0.25">
      <c r="Y75" s="86" t="s">
        <v>340</v>
      </c>
      <c r="Z75" s="86" t="s">
        <v>283</v>
      </c>
      <c r="AA75" s="86" t="s">
        <v>338</v>
      </c>
      <c r="AB75" s="87">
        <f>E29</f>
        <v>1061.25</v>
      </c>
      <c r="AC75" s="86">
        <v>2</v>
      </c>
      <c r="AD75" s="86">
        <v>10</v>
      </c>
      <c r="AE75" s="94">
        <v>24.92</v>
      </c>
      <c r="AF75" s="86">
        <f t="shared" si="41"/>
        <v>0.14400000000000002</v>
      </c>
      <c r="AG75" s="94">
        <v>70.88</v>
      </c>
      <c r="AH75" s="94">
        <v>0.39400000000000002</v>
      </c>
      <c r="AI75" s="94">
        <v>0.25</v>
      </c>
    </row>
    <row r="76" spans="25:35" x14ac:dyDescent="0.25">
      <c r="Y76" s="86" t="s">
        <v>341</v>
      </c>
      <c r="Z76" s="86" t="s">
        <v>284</v>
      </c>
      <c r="AA76" s="86" t="s">
        <v>338</v>
      </c>
      <c r="AB76" s="87">
        <f>E30</f>
        <v>1091.25</v>
      </c>
      <c r="AC76" s="86">
        <v>2</v>
      </c>
      <c r="AD76" s="86">
        <v>10</v>
      </c>
      <c r="AE76" s="94">
        <v>24.92</v>
      </c>
      <c r="AF76" s="86">
        <f t="shared" si="41"/>
        <v>0.15100000000000002</v>
      </c>
      <c r="AG76" s="94">
        <v>72.05</v>
      </c>
      <c r="AH76" s="94">
        <v>0.40100000000000002</v>
      </c>
      <c r="AI76" s="94">
        <v>0.25</v>
      </c>
    </row>
    <row r="77" spans="25:35" x14ac:dyDescent="0.25">
      <c r="Y77" s="86" t="s">
        <v>375</v>
      </c>
      <c r="Z77" s="86" t="s">
        <v>285</v>
      </c>
      <c r="AA77" s="86" t="s">
        <v>338</v>
      </c>
      <c r="AB77" s="87">
        <f>E31</f>
        <v>1383.75</v>
      </c>
      <c r="AC77" s="86">
        <v>2</v>
      </c>
      <c r="AD77" s="86">
        <v>7</v>
      </c>
      <c r="AE77" s="94">
        <v>18.91</v>
      </c>
      <c r="AF77" s="86">
        <f t="shared" si="41"/>
        <v>0.14400000000000002</v>
      </c>
      <c r="AG77" s="94">
        <v>83.55</v>
      </c>
      <c r="AH77" s="94">
        <v>0.39400000000000002</v>
      </c>
      <c r="AI77" s="94">
        <v>0.25</v>
      </c>
    </row>
    <row r="78" spans="25:35" x14ac:dyDescent="0.25">
      <c r="Y78" s="86" t="s">
        <v>339</v>
      </c>
      <c r="Z78" s="86" t="s">
        <v>282</v>
      </c>
      <c r="AA78" s="86" t="s">
        <v>338</v>
      </c>
      <c r="AB78" s="87">
        <f>F28</f>
        <v>1035</v>
      </c>
      <c r="AC78" s="86">
        <v>2</v>
      </c>
      <c r="AD78" s="86">
        <v>1</v>
      </c>
      <c r="AE78" s="94">
        <v>0.33</v>
      </c>
      <c r="AF78" s="86">
        <f t="shared" si="41"/>
        <v>0.13900000000000001</v>
      </c>
      <c r="AG78" s="94">
        <v>36.229999999999997</v>
      </c>
      <c r="AH78" s="94">
        <v>0.38900000000000001</v>
      </c>
      <c r="AI78" s="94">
        <v>0.25</v>
      </c>
    </row>
    <row r="79" spans="25:35" x14ac:dyDescent="0.25">
      <c r="Y79" s="86" t="s">
        <v>340</v>
      </c>
      <c r="Z79" s="86" t="s">
        <v>283</v>
      </c>
      <c r="AA79" s="86" t="s">
        <v>338</v>
      </c>
      <c r="AB79" s="87">
        <f>F29</f>
        <v>1415</v>
      </c>
      <c r="AC79" s="86">
        <v>2</v>
      </c>
      <c r="AD79" s="86">
        <v>1</v>
      </c>
      <c r="AE79" s="94">
        <v>0.33</v>
      </c>
      <c r="AF79" s="86">
        <f t="shared" si="41"/>
        <v>0.23399999999999999</v>
      </c>
      <c r="AG79" s="94">
        <v>38.53</v>
      </c>
      <c r="AH79" s="94">
        <v>0.48399999999999999</v>
      </c>
      <c r="AI79" s="94">
        <v>0.25</v>
      </c>
    </row>
    <row r="80" spans="25:35" x14ac:dyDescent="0.25">
      <c r="Y80" s="86" t="s">
        <v>341</v>
      </c>
      <c r="Z80" s="86" t="s">
        <v>284</v>
      </c>
      <c r="AA80" s="86" t="s">
        <v>338</v>
      </c>
      <c r="AB80" s="87">
        <f>F30</f>
        <v>1455</v>
      </c>
      <c r="AC80" s="86">
        <v>2</v>
      </c>
      <c r="AD80" s="86">
        <v>1</v>
      </c>
      <c r="AE80" s="94">
        <v>0.33</v>
      </c>
      <c r="AF80" s="86">
        <f t="shared" si="41"/>
        <v>0.246</v>
      </c>
      <c r="AG80" s="94">
        <v>38.71</v>
      </c>
      <c r="AH80" s="94">
        <v>0.496</v>
      </c>
      <c r="AI80" s="94">
        <v>0.25</v>
      </c>
    </row>
    <row r="81" spans="25:35" x14ac:dyDescent="0.25">
      <c r="Y81" s="86" t="s">
        <v>375</v>
      </c>
      <c r="Z81" s="86" t="s">
        <v>285</v>
      </c>
      <c r="AA81" s="86" t="s">
        <v>338</v>
      </c>
      <c r="AB81" s="87">
        <f>F31</f>
        <v>1845</v>
      </c>
      <c r="AC81" s="86">
        <v>2</v>
      </c>
      <c r="AD81" s="86">
        <v>1</v>
      </c>
      <c r="AE81" s="94">
        <v>0.63</v>
      </c>
      <c r="AF81" s="86">
        <f t="shared" si="41"/>
        <v>0.23399999999999999</v>
      </c>
      <c r="AG81" s="94">
        <v>44.11</v>
      </c>
      <c r="AH81" s="94">
        <v>0.48399999999999999</v>
      </c>
      <c r="AI81" s="94">
        <v>0.25</v>
      </c>
    </row>
    <row r="82" spans="25:35" x14ac:dyDescent="0.25">
      <c r="Y82" s="86" t="s">
        <v>339</v>
      </c>
      <c r="Z82" s="86" t="s">
        <v>282</v>
      </c>
      <c r="AA82" s="86" t="s">
        <v>338</v>
      </c>
      <c r="AB82" s="87">
        <f>F28</f>
        <v>1035</v>
      </c>
      <c r="AC82" s="86">
        <v>2</v>
      </c>
      <c r="AD82" s="86">
        <v>10</v>
      </c>
      <c r="AE82" s="94">
        <v>24.92</v>
      </c>
      <c r="AF82" s="86">
        <f t="shared" si="41"/>
        <v>0.13900000000000001</v>
      </c>
      <c r="AG82" s="94">
        <v>69.849999999999994</v>
      </c>
      <c r="AH82" s="94">
        <v>0.38900000000000001</v>
      </c>
      <c r="AI82" s="94">
        <v>0.25</v>
      </c>
    </row>
    <row r="83" spans="25:35" x14ac:dyDescent="0.25">
      <c r="Y83" s="86" t="s">
        <v>340</v>
      </c>
      <c r="Z83" s="86" t="s">
        <v>283</v>
      </c>
      <c r="AA83" s="86" t="s">
        <v>338</v>
      </c>
      <c r="AB83" s="87">
        <f t="shared" ref="AB83:AB85" si="44">F29</f>
        <v>1415</v>
      </c>
      <c r="AC83" s="86">
        <v>2</v>
      </c>
      <c r="AD83" s="86">
        <v>10</v>
      </c>
      <c r="AE83" s="94">
        <v>24.93</v>
      </c>
      <c r="AF83" s="86">
        <f t="shared" si="41"/>
        <v>0.23399999999999999</v>
      </c>
      <c r="AG83" s="94">
        <v>83.19</v>
      </c>
      <c r="AH83" s="94">
        <v>0.48399999999999999</v>
      </c>
      <c r="AI83" s="94">
        <v>0.25</v>
      </c>
    </row>
    <row r="84" spans="25:35" x14ac:dyDescent="0.25">
      <c r="Y84" s="86" t="s">
        <v>341</v>
      </c>
      <c r="Z84" s="86" t="s">
        <v>284</v>
      </c>
      <c r="AA84" s="86" t="s">
        <v>338</v>
      </c>
      <c r="AB84" s="87">
        <f t="shared" si="44"/>
        <v>1455</v>
      </c>
      <c r="AC84" s="86">
        <v>2</v>
      </c>
      <c r="AD84" s="86">
        <v>10</v>
      </c>
      <c r="AE84" s="94">
        <v>24.93</v>
      </c>
      <c r="AF84" s="86">
        <f t="shared" si="41"/>
        <v>0.246</v>
      </c>
      <c r="AG84" s="94">
        <v>84.41</v>
      </c>
      <c r="AH84" s="94">
        <v>0.496</v>
      </c>
      <c r="AI84" s="94">
        <v>0.25</v>
      </c>
    </row>
    <row r="85" spans="25:35" x14ac:dyDescent="0.25">
      <c r="Y85" s="86" t="s">
        <v>375</v>
      </c>
      <c r="Z85" s="86" t="s">
        <v>285</v>
      </c>
      <c r="AA85" s="86" t="s">
        <v>338</v>
      </c>
      <c r="AB85" s="87">
        <f t="shared" si="44"/>
        <v>1845</v>
      </c>
      <c r="AC85" s="86">
        <v>2</v>
      </c>
      <c r="AD85" s="86">
        <v>7</v>
      </c>
      <c r="AE85" s="94">
        <v>18.96</v>
      </c>
      <c r="AF85" s="86">
        <f t="shared" si="41"/>
        <v>0.23399999999999999</v>
      </c>
      <c r="AG85" s="94">
        <v>96.53</v>
      </c>
      <c r="AH85" s="94">
        <v>0.48399999999999999</v>
      </c>
      <c r="AI85" s="94">
        <v>0.25</v>
      </c>
    </row>
  </sheetData>
  <phoneticPr fontId="12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A3E0D-8449-4D03-8F3E-8C063132B2AC}">
  <dimension ref="A1:AJ85"/>
  <sheetViews>
    <sheetView topLeftCell="A13" workbookViewId="0">
      <selection activeCell="K2" sqref="K2:L2"/>
    </sheetView>
  </sheetViews>
  <sheetFormatPr defaultRowHeight="15" x14ac:dyDescent="0.25"/>
  <cols>
    <col min="1" max="1" width="15.140625" style="78" bestFit="1" customWidth="1"/>
    <col min="2" max="2" width="9.140625" style="78"/>
    <col min="3" max="3" width="11.140625" style="78" bestFit="1" customWidth="1"/>
    <col min="4" max="4" width="9.5703125" style="78" bestFit="1" customWidth="1"/>
    <col min="5" max="6" width="9.140625" style="78"/>
    <col min="7" max="7" width="7.5703125" style="78" bestFit="1" customWidth="1"/>
    <col min="8" max="8" width="7.5703125" style="78" customWidth="1"/>
    <col min="9" max="10" width="11.5703125" style="78" bestFit="1" customWidth="1"/>
    <col min="11" max="12" width="6.7109375" style="78" bestFit="1" customWidth="1"/>
    <col min="13" max="14" width="9.85546875" style="78" bestFit="1" customWidth="1"/>
    <col min="15" max="22" width="9.85546875" style="78" customWidth="1"/>
    <col min="23" max="24" width="9.140625" style="78"/>
    <col min="25" max="25" width="17.5703125" style="78" bestFit="1" customWidth="1"/>
    <col min="26" max="26" width="8" style="78" bestFit="1" customWidth="1"/>
    <col min="27" max="27" width="11.140625" style="78" bestFit="1" customWidth="1"/>
    <col min="28" max="28" width="13.140625" style="78" bestFit="1" customWidth="1"/>
    <col min="29" max="29" width="11.140625" style="78" bestFit="1" customWidth="1"/>
    <col min="30" max="30" width="9.5703125" style="78" bestFit="1" customWidth="1"/>
    <col min="31" max="31" width="10.140625" style="78" bestFit="1" customWidth="1"/>
    <col min="32" max="32" width="6.5703125" style="78" bestFit="1" customWidth="1"/>
    <col min="33" max="33" width="6" style="78" bestFit="1" customWidth="1"/>
    <col min="34" max="34" width="8.42578125" style="78" bestFit="1" customWidth="1"/>
    <col min="35" max="35" width="7.7109375" style="78" bestFit="1" customWidth="1"/>
    <col min="36" max="36" width="15" style="78" bestFit="1" customWidth="1"/>
    <col min="37" max="39" width="9.140625" style="78"/>
    <col min="40" max="40" width="11.140625" style="78" bestFit="1" customWidth="1"/>
    <col min="41" max="16384" width="9.140625" style="78"/>
  </cols>
  <sheetData>
    <row r="1" spans="1:36" x14ac:dyDescent="0.25">
      <c r="A1" s="88" t="s">
        <v>378</v>
      </c>
      <c r="M1" s="16" t="s">
        <v>367</v>
      </c>
      <c r="N1" s="16" t="s">
        <v>368</v>
      </c>
      <c r="O1" s="16" t="s">
        <v>369</v>
      </c>
      <c r="P1" s="16" t="s">
        <v>370</v>
      </c>
      <c r="Q1" s="16"/>
      <c r="R1" s="16"/>
      <c r="S1" s="16"/>
      <c r="T1" s="16"/>
      <c r="U1" s="16"/>
      <c r="V1" s="16"/>
      <c r="Y1" s="88" t="s">
        <v>376</v>
      </c>
    </row>
    <row r="2" spans="1:36" x14ac:dyDescent="0.25">
      <c r="A2" s="86" t="s">
        <v>326</v>
      </c>
      <c r="B2" s="86" t="s">
        <v>334</v>
      </c>
      <c r="C2" s="86" t="s">
        <v>336</v>
      </c>
      <c r="D2" s="86" t="s">
        <v>335</v>
      </c>
      <c r="E2" s="86" t="s">
        <v>361</v>
      </c>
      <c r="F2" s="86" t="s">
        <v>363</v>
      </c>
      <c r="G2" s="86" t="s">
        <v>362</v>
      </c>
      <c r="H2" s="86" t="s">
        <v>364</v>
      </c>
      <c r="I2" s="86" t="s">
        <v>356</v>
      </c>
      <c r="J2" s="86" t="s">
        <v>357</v>
      </c>
      <c r="K2" s="86" t="s">
        <v>355</v>
      </c>
      <c r="L2" s="86" t="s">
        <v>358</v>
      </c>
      <c r="M2" s="86" t="s">
        <v>359</v>
      </c>
      <c r="N2" s="86" t="s">
        <v>360</v>
      </c>
      <c r="O2" s="86" t="s">
        <v>365</v>
      </c>
      <c r="P2" s="86" t="s">
        <v>366</v>
      </c>
      <c r="Q2" s="7"/>
      <c r="R2" s="7"/>
      <c r="S2" s="7"/>
      <c r="T2" s="7"/>
      <c r="U2" s="7"/>
      <c r="V2" s="7"/>
      <c r="Y2" s="86" t="s">
        <v>326</v>
      </c>
      <c r="Z2" s="86" t="s">
        <v>334</v>
      </c>
      <c r="AA2" s="86" t="s">
        <v>336</v>
      </c>
      <c r="AB2" s="86" t="s">
        <v>403</v>
      </c>
      <c r="AC2" s="86" t="s">
        <v>402</v>
      </c>
      <c r="AD2" s="86" t="s">
        <v>335</v>
      </c>
      <c r="AE2" s="86" t="s">
        <v>328</v>
      </c>
      <c r="AF2" s="86" t="s">
        <v>329</v>
      </c>
      <c r="AG2" s="86" t="s">
        <v>20</v>
      </c>
      <c r="AH2" s="86" t="s">
        <v>330</v>
      </c>
      <c r="AI2" s="90" t="s">
        <v>352</v>
      </c>
      <c r="AJ2" s="90" t="s">
        <v>353</v>
      </c>
    </row>
    <row r="3" spans="1:36" x14ac:dyDescent="0.25">
      <c r="A3" s="89" t="s">
        <v>382</v>
      </c>
      <c r="B3" s="86" t="s">
        <v>281</v>
      </c>
      <c r="C3" s="86" t="s">
        <v>337</v>
      </c>
      <c r="D3" s="86">
        <v>1</v>
      </c>
      <c r="E3" s="101">
        <f>'FP Background Data'!R6*0.75</f>
        <v>483.75</v>
      </c>
      <c r="F3" s="101">
        <f>'FP Background Data'!R6</f>
        <v>645</v>
      </c>
      <c r="G3" s="96">
        <f t="shared" ref="G3:G8" si="0">AG3</f>
        <v>5.4999999999999993E-2</v>
      </c>
      <c r="H3" s="96">
        <f t="shared" ref="H3:H8" si="1">AG15</f>
        <v>9.1000000000000025E-2</v>
      </c>
      <c r="I3" s="97">
        <v>0.5</v>
      </c>
      <c r="J3" s="97">
        <v>5</v>
      </c>
      <c r="K3" s="97">
        <f>AF3</f>
        <v>0.15</v>
      </c>
      <c r="L3" s="97">
        <f>AF9</f>
        <v>9.01</v>
      </c>
      <c r="M3" s="97">
        <f>AH3</f>
        <v>12.4</v>
      </c>
      <c r="N3" s="97">
        <f>AH9</f>
        <v>20.69</v>
      </c>
      <c r="O3" s="97">
        <f>AH15</f>
        <v>13.43</v>
      </c>
      <c r="P3" s="97">
        <f>AH21</f>
        <v>24.05</v>
      </c>
      <c r="Q3" s="7" t="s">
        <v>49</v>
      </c>
      <c r="R3" s="7"/>
      <c r="S3" s="7"/>
      <c r="T3" s="7"/>
      <c r="U3" s="7"/>
      <c r="V3" s="7"/>
      <c r="Y3" s="89" t="s">
        <v>382</v>
      </c>
      <c r="Z3" s="86" t="s">
        <v>281</v>
      </c>
      <c r="AA3" s="86" t="s">
        <v>337</v>
      </c>
      <c r="AB3" s="87">
        <f>AC3/2</f>
        <v>241.875</v>
      </c>
      <c r="AC3" s="87">
        <f t="shared" ref="AC3:AC8" si="2">E3</f>
        <v>483.75</v>
      </c>
      <c r="AD3" s="86">
        <v>1</v>
      </c>
      <c r="AE3" s="86">
        <v>0.5</v>
      </c>
      <c r="AF3" s="91">
        <v>0.15</v>
      </c>
      <c r="AG3" s="86">
        <f t="shared" ref="AG3:AG50" si="3">AI3-AJ3</f>
        <v>5.4999999999999993E-2</v>
      </c>
      <c r="AH3" s="91">
        <v>12.4</v>
      </c>
      <c r="AI3" s="91">
        <v>0.30499999999999999</v>
      </c>
      <c r="AJ3" s="91">
        <v>0.25</v>
      </c>
    </row>
    <row r="4" spans="1:36" x14ac:dyDescent="0.25">
      <c r="A4" s="89" t="s">
        <v>383</v>
      </c>
      <c r="B4" s="86" t="s">
        <v>282</v>
      </c>
      <c r="C4" s="86" t="s">
        <v>337</v>
      </c>
      <c r="D4" s="86">
        <v>1</v>
      </c>
      <c r="E4" s="101">
        <f>'FP Background Data'!R7*0.75</f>
        <v>862.5</v>
      </c>
      <c r="F4" s="101">
        <f>'FP Background Data'!R7</f>
        <v>1150</v>
      </c>
      <c r="G4" s="96">
        <f t="shared" si="0"/>
        <v>0.06</v>
      </c>
      <c r="H4" s="96">
        <f t="shared" si="1"/>
        <v>9.9999999999999978E-2</v>
      </c>
      <c r="I4" s="97">
        <v>0.5</v>
      </c>
      <c r="J4" s="97">
        <v>8</v>
      </c>
      <c r="K4" s="97">
        <f t="shared" ref="K4:K8" si="4">AF4</f>
        <v>7.0000000000000007E-2</v>
      </c>
      <c r="L4" s="97">
        <f t="shared" ref="L4:L8" si="5">AF10</f>
        <v>13.44</v>
      </c>
      <c r="M4" s="97">
        <f t="shared" ref="M4:M8" si="6">AH4</f>
        <v>14.99</v>
      </c>
      <c r="N4" s="97">
        <f t="shared" ref="N4:N8" si="7">AH10</f>
        <v>38.64</v>
      </c>
      <c r="O4" s="97">
        <f t="shared" ref="O4:O8" si="8">AH16</f>
        <v>15.64</v>
      </c>
      <c r="P4" s="97">
        <f t="shared" ref="P4:P8" si="9">AH22</f>
        <v>44.88</v>
      </c>
      <c r="Q4" s="7" t="s">
        <v>49</v>
      </c>
      <c r="R4" s="7"/>
      <c r="S4" s="7"/>
      <c r="T4" s="7"/>
      <c r="U4" s="7"/>
      <c r="V4" s="7"/>
      <c r="Y4" s="89" t="s">
        <v>383</v>
      </c>
      <c r="Z4" s="86" t="s">
        <v>282</v>
      </c>
      <c r="AA4" s="86" t="s">
        <v>337</v>
      </c>
      <c r="AB4" s="87">
        <f t="shared" ref="AB4:AB50" si="10">AC4/2</f>
        <v>431.25</v>
      </c>
      <c r="AC4" s="87">
        <f t="shared" si="2"/>
        <v>862.5</v>
      </c>
      <c r="AD4" s="86">
        <v>1</v>
      </c>
      <c r="AE4" s="86">
        <v>0.5</v>
      </c>
      <c r="AF4" s="91">
        <v>7.0000000000000007E-2</v>
      </c>
      <c r="AG4" s="86">
        <f t="shared" si="3"/>
        <v>0.06</v>
      </c>
      <c r="AH4" s="91">
        <v>14.99</v>
      </c>
      <c r="AI4" s="91">
        <v>0.31</v>
      </c>
      <c r="AJ4" s="91">
        <v>0.25</v>
      </c>
    </row>
    <row r="5" spans="1:36" x14ac:dyDescent="0.25">
      <c r="A5" s="89" t="s">
        <v>384</v>
      </c>
      <c r="B5" s="86" t="s">
        <v>283</v>
      </c>
      <c r="C5" s="86" t="s">
        <v>337</v>
      </c>
      <c r="D5" s="86">
        <v>1</v>
      </c>
      <c r="E5" s="101">
        <f>'FP Background Data'!R8*0.75</f>
        <v>1117.5</v>
      </c>
      <c r="F5" s="101">
        <f>'FP Background Data'!R8</f>
        <v>1490</v>
      </c>
      <c r="G5" s="96">
        <f t="shared" si="0"/>
        <v>9.4999999999999973E-2</v>
      </c>
      <c r="H5" s="96">
        <f t="shared" si="1"/>
        <v>0.15999999999999998</v>
      </c>
      <c r="I5" s="97">
        <v>0.5</v>
      </c>
      <c r="J5" s="97">
        <v>8</v>
      </c>
      <c r="K5" s="97">
        <f t="shared" si="4"/>
        <v>7.0000000000000007E-2</v>
      </c>
      <c r="L5" s="97">
        <f t="shared" si="5"/>
        <v>13.44</v>
      </c>
      <c r="M5" s="97">
        <f t="shared" si="6"/>
        <v>15.58</v>
      </c>
      <c r="N5" s="97">
        <f t="shared" si="7"/>
        <v>44.22</v>
      </c>
      <c r="O5" s="97">
        <f t="shared" si="8"/>
        <v>16.2</v>
      </c>
      <c r="P5" s="97">
        <f t="shared" si="9"/>
        <v>51.41</v>
      </c>
      <c r="Q5" s="7" t="s">
        <v>49</v>
      </c>
      <c r="R5" s="7"/>
      <c r="S5" s="7"/>
      <c r="T5" s="7"/>
      <c r="U5" s="7"/>
      <c r="V5" s="7"/>
      <c r="Y5" s="89" t="s">
        <v>384</v>
      </c>
      <c r="Z5" s="86" t="s">
        <v>283</v>
      </c>
      <c r="AA5" s="86" t="s">
        <v>337</v>
      </c>
      <c r="AB5" s="87">
        <f t="shared" si="10"/>
        <v>558.75</v>
      </c>
      <c r="AC5" s="87">
        <f t="shared" si="2"/>
        <v>1117.5</v>
      </c>
      <c r="AD5" s="86">
        <v>1</v>
      </c>
      <c r="AE5" s="86">
        <v>0.5</v>
      </c>
      <c r="AF5" s="91">
        <v>7.0000000000000007E-2</v>
      </c>
      <c r="AG5" s="86">
        <f t="shared" si="3"/>
        <v>9.4999999999999973E-2</v>
      </c>
      <c r="AH5" s="91">
        <v>15.58</v>
      </c>
      <c r="AI5" s="91">
        <v>0.34499999999999997</v>
      </c>
      <c r="AJ5" s="91">
        <v>0.25</v>
      </c>
    </row>
    <row r="6" spans="1:36" x14ac:dyDescent="0.25">
      <c r="A6" s="89" t="s">
        <v>385</v>
      </c>
      <c r="B6" s="86" t="s">
        <v>284</v>
      </c>
      <c r="C6" s="86" t="s">
        <v>337</v>
      </c>
      <c r="D6" s="86">
        <v>1</v>
      </c>
      <c r="E6" s="101">
        <f>'FP Background Data'!R9*0.75</f>
        <v>1305</v>
      </c>
      <c r="F6" s="101">
        <f>'FP Background Data'!R9</f>
        <v>1740</v>
      </c>
      <c r="G6" s="96">
        <f t="shared" si="0"/>
        <v>0.10999999999999999</v>
      </c>
      <c r="H6" s="96">
        <f t="shared" si="1"/>
        <v>0.186</v>
      </c>
      <c r="I6" s="97">
        <v>0.5</v>
      </c>
      <c r="J6" s="97">
        <v>8</v>
      </c>
      <c r="K6" s="97">
        <f t="shared" si="4"/>
        <v>0.08</v>
      </c>
      <c r="L6" s="97">
        <f t="shared" si="5"/>
        <v>14.11</v>
      </c>
      <c r="M6" s="97">
        <f t="shared" si="6"/>
        <v>17.32</v>
      </c>
      <c r="N6" s="97">
        <f t="shared" si="7"/>
        <v>52.94</v>
      </c>
      <c r="O6" s="97">
        <f t="shared" si="8"/>
        <v>17.91</v>
      </c>
      <c r="P6" s="97">
        <f t="shared" si="9"/>
        <v>61.41</v>
      </c>
      <c r="Q6" s="7" t="s">
        <v>49</v>
      </c>
      <c r="R6" s="7"/>
      <c r="S6" s="7"/>
      <c r="T6" s="7"/>
      <c r="U6" s="7"/>
      <c r="V6" s="7"/>
      <c r="Y6" s="89" t="s">
        <v>385</v>
      </c>
      <c r="Z6" s="86" t="s">
        <v>284</v>
      </c>
      <c r="AA6" s="86" t="s">
        <v>337</v>
      </c>
      <c r="AB6" s="87">
        <f t="shared" si="10"/>
        <v>652.5</v>
      </c>
      <c r="AC6" s="87">
        <f t="shared" si="2"/>
        <v>1305</v>
      </c>
      <c r="AD6" s="86">
        <v>1</v>
      </c>
      <c r="AE6" s="86">
        <v>0.5</v>
      </c>
      <c r="AF6" s="91">
        <v>0.08</v>
      </c>
      <c r="AG6" s="86">
        <f t="shared" si="3"/>
        <v>0.10999999999999999</v>
      </c>
      <c r="AH6" s="91">
        <v>17.32</v>
      </c>
      <c r="AI6" s="91">
        <v>0.36</v>
      </c>
      <c r="AJ6" s="91">
        <v>0.25</v>
      </c>
    </row>
    <row r="7" spans="1:36" x14ac:dyDescent="0.25">
      <c r="A7" s="89" t="s">
        <v>386</v>
      </c>
      <c r="B7" s="86" t="s">
        <v>285</v>
      </c>
      <c r="C7" s="86" t="s">
        <v>337</v>
      </c>
      <c r="D7" s="86">
        <v>1</v>
      </c>
      <c r="E7" s="101">
        <f>'FP Background Data'!R10*0.75</f>
        <v>1852.5</v>
      </c>
      <c r="F7" s="101">
        <f>'FP Background Data'!R10</f>
        <v>2470</v>
      </c>
      <c r="G7" s="96">
        <f t="shared" si="0"/>
        <v>0.10999999999999999</v>
      </c>
      <c r="H7" s="96">
        <f t="shared" si="1"/>
        <v>0.186</v>
      </c>
      <c r="I7" s="97">
        <v>0.5</v>
      </c>
      <c r="J7" s="97">
        <v>6</v>
      </c>
      <c r="K7" s="97">
        <f t="shared" si="4"/>
        <v>0.11</v>
      </c>
      <c r="L7" s="97">
        <f t="shared" si="5"/>
        <v>9.16</v>
      </c>
      <c r="M7" s="97">
        <f t="shared" si="6"/>
        <v>21.35</v>
      </c>
      <c r="N7" s="97">
        <f t="shared" si="7"/>
        <v>64.92</v>
      </c>
      <c r="O7" s="97">
        <f t="shared" si="8"/>
        <v>22.01</v>
      </c>
      <c r="P7" s="97">
        <f t="shared" si="9"/>
        <v>74.87</v>
      </c>
      <c r="Q7" s="7" t="s">
        <v>49</v>
      </c>
      <c r="R7" s="7"/>
      <c r="S7" s="7"/>
      <c r="T7" s="7"/>
      <c r="U7" s="7"/>
      <c r="V7" s="7"/>
      <c r="Y7" s="89" t="s">
        <v>386</v>
      </c>
      <c r="Z7" s="86" t="s">
        <v>285</v>
      </c>
      <c r="AA7" s="86" t="s">
        <v>337</v>
      </c>
      <c r="AB7" s="87">
        <f t="shared" si="10"/>
        <v>926.25</v>
      </c>
      <c r="AC7" s="87">
        <f t="shared" si="2"/>
        <v>1852.5</v>
      </c>
      <c r="AD7" s="86">
        <v>1</v>
      </c>
      <c r="AE7" s="86">
        <v>0.5</v>
      </c>
      <c r="AF7" s="91">
        <v>0.11</v>
      </c>
      <c r="AG7" s="86">
        <f t="shared" si="3"/>
        <v>0.10999999999999999</v>
      </c>
      <c r="AH7" s="91">
        <v>21.35</v>
      </c>
      <c r="AI7" s="91">
        <v>0.36</v>
      </c>
      <c r="AJ7" s="91">
        <v>0.25</v>
      </c>
    </row>
    <row r="8" spans="1:36" x14ac:dyDescent="0.25">
      <c r="A8" s="89" t="s">
        <v>387</v>
      </c>
      <c r="B8" s="86" t="s">
        <v>286</v>
      </c>
      <c r="C8" s="86" t="s">
        <v>337</v>
      </c>
      <c r="D8" s="86">
        <v>1</v>
      </c>
      <c r="E8" s="101">
        <f>'FP Background Data'!R11*0.75</f>
        <v>2006.25</v>
      </c>
      <c r="F8" s="101">
        <f>'FP Background Data'!R11</f>
        <v>2675</v>
      </c>
      <c r="G8" s="96">
        <f t="shared" si="0"/>
        <v>0.127</v>
      </c>
      <c r="H8" s="96">
        <f t="shared" si="1"/>
        <v>0.21500000000000002</v>
      </c>
      <c r="I8" s="97">
        <v>0.5</v>
      </c>
      <c r="J8" s="97">
        <v>6</v>
      </c>
      <c r="K8" s="97">
        <f t="shared" si="4"/>
        <v>0.11</v>
      </c>
      <c r="L8" s="97">
        <f t="shared" si="5"/>
        <v>9.17</v>
      </c>
      <c r="M8" s="97">
        <f t="shared" si="6"/>
        <v>21.54</v>
      </c>
      <c r="N8" s="97">
        <f t="shared" si="7"/>
        <v>67.540000000000006</v>
      </c>
      <c r="O8" s="97">
        <f t="shared" si="8"/>
        <v>22.18</v>
      </c>
      <c r="P8" s="97">
        <f t="shared" si="9"/>
        <v>77.86</v>
      </c>
      <c r="Q8" s="7" t="s">
        <v>49</v>
      </c>
      <c r="R8" s="7"/>
      <c r="S8" s="7"/>
      <c r="T8" s="7"/>
      <c r="U8" s="7"/>
      <c r="V8" s="7"/>
      <c r="Y8" s="89" t="s">
        <v>387</v>
      </c>
      <c r="Z8" s="86" t="s">
        <v>286</v>
      </c>
      <c r="AA8" s="86" t="s">
        <v>337</v>
      </c>
      <c r="AB8" s="87">
        <f t="shared" si="10"/>
        <v>1003.125</v>
      </c>
      <c r="AC8" s="87">
        <f t="shared" si="2"/>
        <v>2006.25</v>
      </c>
      <c r="AD8" s="86">
        <v>1</v>
      </c>
      <c r="AE8" s="86">
        <v>0.5</v>
      </c>
      <c r="AF8" s="91">
        <v>0.11</v>
      </c>
      <c r="AG8" s="86">
        <f t="shared" si="3"/>
        <v>0.127</v>
      </c>
      <c r="AH8" s="91">
        <v>21.54</v>
      </c>
      <c r="AI8" s="91">
        <v>0.377</v>
      </c>
      <c r="AJ8" s="91">
        <v>0.25</v>
      </c>
    </row>
    <row r="9" spans="1:36" x14ac:dyDescent="0.25">
      <c r="Y9" s="89" t="s">
        <v>382</v>
      </c>
      <c r="Z9" s="86" t="s">
        <v>281</v>
      </c>
      <c r="AA9" s="86" t="s">
        <v>337</v>
      </c>
      <c r="AB9" s="87">
        <f t="shared" si="10"/>
        <v>241.875</v>
      </c>
      <c r="AC9" s="87">
        <f>E3</f>
        <v>483.75</v>
      </c>
      <c r="AD9" s="86">
        <v>1</v>
      </c>
      <c r="AE9" s="86">
        <v>5</v>
      </c>
      <c r="AF9" s="91">
        <v>9.01</v>
      </c>
      <c r="AG9" s="86">
        <f t="shared" si="3"/>
        <v>5.4999999999999993E-2</v>
      </c>
      <c r="AH9" s="91">
        <v>20.69</v>
      </c>
      <c r="AI9" s="91">
        <v>0.30499999999999999</v>
      </c>
      <c r="AJ9" s="91">
        <v>0.25</v>
      </c>
    </row>
    <row r="10" spans="1:36" x14ac:dyDescent="0.25">
      <c r="A10" s="88" t="s">
        <v>379</v>
      </c>
      <c r="M10" s="16" t="s">
        <v>367</v>
      </c>
      <c r="N10" s="16" t="s">
        <v>368</v>
      </c>
      <c r="O10" s="16" t="s">
        <v>369</v>
      </c>
      <c r="P10" s="16" t="s">
        <v>370</v>
      </c>
      <c r="Q10" s="16"/>
      <c r="R10" s="16"/>
      <c r="S10" s="16"/>
      <c r="T10" s="16"/>
      <c r="U10" s="16"/>
      <c r="V10" s="16"/>
      <c r="Y10" s="89" t="s">
        <v>383</v>
      </c>
      <c r="Z10" s="86" t="s">
        <v>282</v>
      </c>
      <c r="AA10" s="86" t="s">
        <v>337</v>
      </c>
      <c r="AB10" s="87">
        <f t="shared" si="10"/>
        <v>431.25</v>
      </c>
      <c r="AC10" s="87">
        <f t="shared" ref="AC10:AC14" si="11">E4</f>
        <v>862.5</v>
      </c>
      <c r="AD10" s="86">
        <v>1</v>
      </c>
      <c r="AE10" s="86">
        <v>8</v>
      </c>
      <c r="AF10" s="91">
        <v>13.44</v>
      </c>
      <c r="AG10" s="86">
        <f t="shared" si="3"/>
        <v>0.06</v>
      </c>
      <c r="AH10" s="91">
        <v>38.64</v>
      </c>
      <c r="AI10" s="91">
        <v>0.31</v>
      </c>
      <c r="AJ10" s="91">
        <v>0.25</v>
      </c>
    </row>
    <row r="11" spans="1:36" x14ac:dyDescent="0.25">
      <c r="A11" s="86" t="s">
        <v>326</v>
      </c>
      <c r="B11" s="86" t="s">
        <v>334</v>
      </c>
      <c r="C11" s="86" t="s">
        <v>336</v>
      </c>
      <c r="D11" s="86" t="s">
        <v>335</v>
      </c>
      <c r="E11" s="86" t="s">
        <v>361</v>
      </c>
      <c r="F11" s="86" t="s">
        <v>363</v>
      </c>
      <c r="G11" s="86" t="s">
        <v>362</v>
      </c>
      <c r="H11" s="86" t="s">
        <v>364</v>
      </c>
      <c r="I11" s="86" t="s">
        <v>328</v>
      </c>
      <c r="J11" s="86" t="s">
        <v>357</v>
      </c>
      <c r="K11" s="86" t="s">
        <v>355</v>
      </c>
      <c r="L11" s="86" t="s">
        <v>358</v>
      </c>
      <c r="M11" s="86" t="s">
        <v>359</v>
      </c>
      <c r="N11" s="86" t="s">
        <v>360</v>
      </c>
      <c r="O11" s="86" t="s">
        <v>365</v>
      </c>
      <c r="P11" s="86" t="s">
        <v>366</v>
      </c>
      <c r="Q11" s="7"/>
      <c r="R11" s="7"/>
      <c r="S11" s="7"/>
      <c r="T11" s="7"/>
      <c r="U11" s="7"/>
      <c r="V11" s="7"/>
      <c r="Y11" s="89" t="s">
        <v>384</v>
      </c>
      <c r="Z11" s="86" t="s">
        <v>283</v>
      </c>
      <c r="AA11" s="86" t="s">
        <v>337</v>
      </c>
      <c r="AB11" s="87">
        <f t="shared" si="10"/>
        <v>558.75</v>
      </c>
      <c r="AC11" s="87">
        <f t="shared" si="11"/>
        <v>1117.5</v>
      </c>
      <c r="AD11" s="86">
        <v>1</v>
      </c>
      <c r="AE11" s="86">
        <v>8</v>
      </c>
      <c r="AF11" s="91">
        <v>13.44</v>
      </c>
      <c r="AG11" s="86">
        <f t="shared" si="3"/>
        <v>9.4999999999999973E-2</v>
      </c>
      <c r="AH11" s="91">
        <v>44.22</v>
      </c>
      <c r="AI11" s="91">
        <v>0.34499999999999997</v>
      </c>
      <c r="AJ11" s="91">
        <v>0.25</v>
      </c>
    </row>
    <row r="12" spans="1:36" x14ac:dyDescent="0.25">
      <c r="A12" s="89" t="s">
        <v>396</v>
      </c>
      <c r="B12" s="86" t="s">
        <v>281</v>
      </c>
      <c r="C12" s="86" t="s">
        <v>337</v>
      </c>
      <c r="D12" s="86">
        <v>2</v>
      </c>
      <c r="E12" s="101">
        <f>'FP Background Data'!S6*0.75</f>
        <v>450</v>
      </c>
      <c r="F12" s="101">
        <f>'FP Background Data'!S6</f>
        <v>600</v>
      </c>
      <c r="G12" s="96">
        <f>AG27</f>
        <v>9.4999999999999973E-2</v>
      </c>
      <c r="H12" s="96">
        <f>AG39</f>
        <v>0.15300000000000002</v>
      </c>
      <c r="I12" s="97">
        <v>1</v>
      </c>
      <c r="J12" s="97">
        <v>5</v>
      </c>
      <c r="K12" s="97">
        <f>AF27</f>
        <v>0.93</v>
      </c>
      <c r="L12" s="97" cm="1">
        <f t="array" ref="L12:L17">AF33:AF38</f>
        <v>16.25</v>
      </c>
      <c r="M12" s="97">
        <f>AH27</f>
        <v>25.09</v>
      </c>
      <c r="N12" s="97">
        <f>AH33</f>
        <v>33.15</v>
      </c>
      <c r="O12" s="97">
        <f>AH39</f>
        <v>28.01</v>
      </c>
      <c r="P12" s="97">
        <f>AH45</f>
        <v>39.25</v>
      </c>
      <c r="Q12" s="7" t="s">
        <v>49</v>
      </c>
      <c r="R12" s="7"/>
      <c r="S12" s="7"/>
      <c r="T12" s="7"/>
      <c r="U12" s="7"/>
      <c r="V12" s="7"/>
      <c r="Y12" s="89" t="s">
        <v>385</v>
      </c>
      <c r="Z12" s="86" t="s">
        <v>284</v>
      </c>
      <c r="AA12" s="86" t="s">
        <v>337</v>
      </c>
      <c r="AB12" s="87">
        <f t="shared" si="10"/>
        <v>652.5</v>
      </c>
      <c r="AC12" s="87">
        <f t="shared" si="11"/>
        <v>1305</v>
      </c>
      <c r="AD12" s="86">
        <v>1</v>
      </c>
      <c r="AE12" s="86">
        <v>8</v>
      </c>
      <c r="AF12" s="91">
        <v>14.11</v>
      </c>
      <c r="AG12" s="86">
        <f t="shared" si="3"/>
        <v>0.10999999999999999</v>
      </c>
      <c r="AH12" s="91">
        <v>52.94</v>
      </c>
      <c r="AI12" s="91">
        <v>0.36</v>
      </c>
      <c r="AJ12" s="91">
        <v>0.25</v>
      </c>
    </row>
    <row r="13" spans="1:36" x14ac:dyDescent="0.25">
      <c r="A13" s="89" t="s">
        <v>397</v>
      </c>
      <c r="B13" s="86" t="s">
        <v>282</v>
      </c>
      <c r="C13" s="86" t="s">
        <v>337</v>
      </c>
      <c r="D13" s="86">
        <v>2</v>
      </c>
      <c r="E13" s="101">
        <f>'FP Background Data'!S7*0.75</f>
        <v>832.5</v>
      </c>
      <c r="F13" s="101">
        <f>'FP Background Data'!S7</f>
        <v>1110</v>
      </c>
      <c r="G13" s="96">
        <f t="shared" ref="G13:G17" si="12">AG28</f>
        <v>0.11199999999999999</v>
      </c>
      <c r="H13" s="96">
        <f t="shared" ref="H13:H17" si="13">AG40</f>
        <v>0.18</v>
      </c>
      <c r="I13" s="97">
        <v>1</v>
      </c>
      <c r="J13" s="97">
        <v>8</v>
      </c>
      <c r="K13" s="97">
        <f t="shared" ref="K13:K17" si="14">AF28</f>
        <v>0.37</v>
      </c>
      <c r="L13" s="97">
        <v>17.62</v>
      </c>
      <c r="M13" s="97">
        <f t="shared" ref="M13:M17" si="15">AH28</f>
        <v>35.950000000000003</v>
      </c>
      <c r="N13" s="97">
        <f t="shared" ref="N13:N17" si="16">AH34</f>
        <v>63.08</v>
      </c>
      <c r="O13" s="97">
        <f t="shared" ref="O13:O17" si="17">AH40</f>
        <v>38.479999999999997</v>
      </c>
      <c r="P13" s="97">
        <f t="shared" ref="P13:P17" si="18">AH46</f>
        <v>74.59</v>
      </c>
      <c r="Q13" s="7" t="s">
        <v>49</v>
      </c>
      <c r="R13" s="7"/>
      <c r="S13" s="7"/>
      <c r="T13" s="7"/>
      <c r="U13" s="7"/>
      <c r="V13" s="7"/>
      <c r="Y13" s="89" t="s">
        <v>386</v>
      </c>
      <c r="Z13" s="86" t="s">
        <v>285</v>
      </c>
      <c r="AA13" s="86" t="s">
        <v>337</v>
      </c>
      <c r="AB13" s="87">
        <f t="shared" si="10"/>
        <v>926.25</v>
      </c>
      <c r="AC13" s="87">
        <f t="shared" si="11"/>
        <v>1852.5</v>
      </c>
      <c r="AD13" s="86">
        <v>1</v>
      </c>
      <c r="AE13" s="86">
        <v>6</v>
      </c>
      <c r="AF13" s="91">
        <v>9.16</v>
      </c>
      <c r="AG13" s="86">
        <f t="shared" si="3"/>
        <v>0.10999999999999999</v>
      </c>
      <c r="AH13" s="91">
        <v>64.92</v>
      </c>
      <c r="AI13" s="91">
        <v>0.36</v>
      </c>
      <c r="AJ13" s="91">
        <v>0.25</v>
      </c>
    </row>
    <row r="14" spans="1:36" x14ac:dyDescent="0.25">
      <c r="A14" s="89" t="s">
        <v>398</v>
      </c>
      <c r="B14" s="86" t="s">
        <v>283</v>
      </c>
      <c r="C14" s="86" t="s">
        <v>337</v>
      </c>
      <c r="D14" s="86">
        <v>2</v>
      </c>
      <c r="E14" s="101">
        <f>'FP Background Data'!S8*0.75</f>
        <v>1068.75</v>
      </c>
      <c r="F14" s="101">
        <f>'FP Background Data'!S8</f>
        <v>1425</v>
      </c>
      <c r="G14" s="96">
        <f t="shared" si="12"/>
        <v>0.16899999999999998</v>
      </c>
      <c r="H14" s="96">
        <f t="shared" si="13"/>
        <v>0.27500000000000002</v>
      </c>
      <c r="I14" s="97">
        <v>1</v>
      </c>
      <c r="J14" s="97">
        <v>8</v>
      </c>
      <c r="K14" s="97">
        <f t="shared" si="14"/>
        <v>0.37</v>
      </c>
      <c r="L14" s="97">
        <v>17.63</v>
      </c>
      <c r="M14" s="97">
        <f t="shared" si="15"/>
        <v>38.17</v>
      </c>
      <c r="N14" s="97">
        <f t="shared" si="16"/>
        <v>73.040000000000006</v>
      </c>
      <c r="O14" s="97">
        <f t="shared" si="17"/>
        <v>40.33</v>
      </c>
      <c r="P14" s="97">
        <f t="shared" si="18"/>
        <v>85.04</v>
      </c>
      <c r="Q14" s="7" t="s">
        <v>49</v>
      </c>
      <c r="R14" s="7"/>
      <c r="S14" s="7"/>
      <c r="T14" s="7"/>
      <c r="U14" s="7"/>
      <c r="V14" s="7"/>
      <c r="Y14" s="89" t="s">
        <v>387</v>
      </c>
      <c r="Z14" s="86" t="s">
        <v>286</v>
      </c>
      <c r="AA14" s="86" t="s">
        <v>337</v>
      </c>
      <c r="AB14" s="87">
        <f t="shared" si="10"/>
        <v>1003.125</v>
      </c>
      <c r="AC14" s="87">
        <f t="shared" si="11"/>
        <v>2006.25</v>
      </c>
      <c r="AD14" s="86">
        <v>1</v>
      </c>
      <c r="AE14" s="86">
        <v>6</v>
      </c>
      <c r="AF14" s="91">
        <v>9.17</v>
      </c>
      <c r="AG14" s="86">
        <f t="shared" si="3"/>
        <v>0.127</v>
      </c>
      <c r="AH14" s="91">
        <v>67.540000000000006</v>
      </c>
      <c r="AI14" s="91">
        <v>0.377</v>
      </c>
      <c r="AJ14" s="91">
        <v>0.25</v>
      </c>
    </row>
    <row r="15" spans="1:36" x14ac:dyDescent="0.25">
      <c r="A15" s="89" t="s">
        <v>399</v>
      </c>
      <c r="B15" s="86" t="s">
        <v>284</v>
      </c>
      <c r="C15" s="86" t="s">
        <v>337</v>
      </c>
      <c r="D15" s="86">
        <v>2</v>
      </c>
      <c r="E15" s="101">
        <f>'FP Background Data'!S9*0.75</f>
        <v>1230</v>
      </c>
      <c r="F15" s="101">
        <f>'FP Background Data'!S9</f>
        <v>1640</v>
      </c>
      <c r="G15" s="96">
        <f t="shared" si="12"/>
        <v>0.187</v>
      </c>
      <c r="H15" s="96">
        <f t="shared" si="13"/>
        <v>0.30600000000000005</v>
      </c>
      <c r="I15" s="97">
        <v>1</v>
      </c>
      <c r="J15" s="97">
        <v>8</v>
      </c>
      <c r="K15" s="97">
        <f t="shared" si="14"/>
        <v>0.37</v>
      </c>
      <c r="L15" s="97">
        <v>17.37</v>
      </c>
      <c r="M15" s="97">
        <f t="shared" si="15"/>
        <v>42.27</v>
      </c>
      <c r="N15" s="97">
        <f t="shared" si="16"/>
        <v>86.12</v>
      </c>
      <c r="O15" s="97">
        <f t="shared" si="17"/>
        <v>44.36</v>
      </c>
      <c r="P15" s="97">
        <f t="shared" si="18"/>
        <v>100.46</v>
      </c>
      <c r="Q15" s="7" t="s">
        <v>49</v>
      </c>
      <c r="R15" s="7"/>
      <c r="S15" s="7"/>
      <c r="T15" s="7"/>
      <c r="U15" s="7"/>
      <c r="V15" s="7"/>
      <c r="Y15" s="89" t="s">
        <v>382</v>
      </c>
      <c r="Z15" s="86" t="s">
        <v>281</v>
      </c>
      <c r="AA15" s="86" t="s">
        <v>337</v>
      </c>
      <c r="AB15" s="87">
        <f t="shared" si="10"/>
        <v>322.5</v>
      </c>
      <c r="AC15" s="87">
        <f t="shared" ref="AC15:AC20" si="19">F3</f>
        <v>645</v>
      </c>
      <c r="AD15" s="86">
        <v>1</v>
      </c>
      <c r="AE15" s="86">
        <v>0.5</v>
      </c>
      <c r="AF15" s="91">
        <v>0.15</v>
      </c>
      <c r="AG15" s="86">
        <f t="shared" si="3"/>
        <v>9.1000000000000025E-2</v>
      </c>
      <c r="AH15" s="91">
        <v>13.43</v>
      </c>
      <c r="AI15" s="91">
        <v>0.34100000000000003</v>
      </c>
      <c r="AJ15" s="91">
        <v>0.25</v>
      </c>
    </row>
    <row r="16" spans="1:36" x14ac:dyDescent="0.25">
      <c r="A16" s="89" t="s">
        <v>400</v>
      </c>
      <c r="B16" s="86" t="s">
        <v>285</v>
      </c>
      <c r="C16" s="86" t="s">
        <v>337</v>
      </c>
      <c r="D16" s="86">
        <v>2</v>
      </c>
      <c r="E16" s="101">
        <f>'FP Background Data'!S10*0.75</f>
        <v>1751.25</v>
      </c>
      <c r="F16" s="101">
        <f>'FP Background Data'!S10</f>
        <v>2335</v>
      </c>
      <c r="G16" s="96">
        <f t="shared" si="12"/>
        <v>0.187</v>
      </c>
      <c r="H16" s="96">
        <f t="shared" si="13"/>
        <v>0.30300000000000005</v>
      </c>
      <c r="I16" s="97">
        <v>1.5</v>
      </c>
      <c r="J16" s="97">
        <v>6</v>
      </c>
      <c r="K16" s="97">
        <f t="shared" si="14"/>
        <v>1.46</v>
      </c>
      <c r="L16" s="97">
        <v>16.739999999999998</v>
      </c>
      <c r="M16" s="97">
        <f t="shared" si="15"/>
        <v>63.82</v>
      </c>
      <c r="N16" s="97">
        <f t="shared" si="16"/>
        <v>105.12</v>
      </c>
      <c r="O16" s="97">
        <f t="shared" si="17"/>
        <v>67.47</v>
      </c>
      <c r="P16" s="97">
        <f t="shared" si="18"/>
        <v>119.57</v>
      </c>
      <c r="Q16" s="7" t="s">
        <v>49</v>
      </c>
      <c r="R16" s="7"/>
      <c r="S16" s="7"/>
      <c r="T16" s="7"/>
      <c r="U16" s="7"/>
      <c r="V16" s="7"/>
      <c r="Y16" s="89" t="s">
        <v>383</v>
      </c>
      <c r="Z16" s="86" t="s">
        <v>282</v>
      </c>
      <c r="AA16" s="86" t="s">
        <v>337</v>
      </c>
      <c r="AB16" s="87">
        <f t="shared" si="10"/>
        <v>575</v>
      </c>
      <c r="AC16" s="87">
        <f t="shared" si="19"/>
        <v>1150</v>
      </c>
      <c r="AD16" s="86">
        <v>1</v>
      </c>
      <c r="AE16" s="86">
        <v>0.5</v>
      </c>
      <c r="AF16" s="91">
        <v>7.0000000000000007E-2</v>
      </c>
      <c r="AG16" s="86">
        <f t="shared" si="3"/>
        <v>9.9999999999999978E-2</v>
      </c>
      <c r="AH16" s="91">
        <v>15.64</v>
      </c>
      <c r="AI16" s="91">
        <v>0.35</v>
      </c>
      <c r="AJ16" s="91">
        <v>0.25</v>
      </c>
    </row>
    <row r="17" spans="1:36" x14ac:dyDescent="0.25">
      <c r="A17" s="89" t="s">
        <v>401</v>
      </c>
      <c r="B17" s="86" t="s">
        <v>286</v>
      </c>
      <c r="C17" s="86" t="s">
        <v>337</v>
      </c>
      <c r="D17" s="86">
        <v>2</v>
      </c>
      <c r="E17" s="101">
        <f>'FP Background Data'!S11*0.75</f>
        <v>1833.75</v>
      </c>
      <c r="F17" s="101">
        <f>'FP Background Data'!S11</f>
        <v>2445</v>
      </c>
      <c r="G17" s="96">
        <f t="shared" si="12"/>
        <v>0.20200000000000001</v>
      </c>
      <c r="H17" s="96">
        <f t="shared" si="13"/>
        <v>0.32799999999999996</v>
      </c>
      <c r="I17" s="97">
        <v>1.5</v>
      </c>
      <c r="J17" s="97">
        <v>6</v>
      </c>
      <c r="K17" s="97">
        <f t="shared" si="14"/>
        <v>1.46</v>
      </c>
      <c r="L17" s="97">
        <v>16.739999999999998</v>
      </c>
      <c r="M17" s="97">
        <f t="shared" si="15"/>
        <v>64.45</v>
      </c>
      <c r="N17" s="97">
        <f t="shared" si="16"/>
        <v>107.45</v>
      </c>
      <c r="O17" s="97">
        <f t="shared" si="17"/>
        <v>67.989999999999995</v>
      </c>
      <c r="P17" s="97">
        <f t="shared" si="18"/>
        <v>121.85</v>
      </c>
      <c r="Q17" s="7" t="s">
        <v>49</v>
      </c>
      <c r="R17" s="7"/>
      <c r="S17" s="7"/>
      <c r="T17" s="7"/>
      <c r="U17" s="7"/>
      <c r="V17" s="7"/>
      <c r="Y17" s="89" t="s">
        <v>384</v>
      </c>
      <c r="Z17" s="86" t="s">
        <v>283</v>
      </c>
      <c r="AA17" s="86" t="s">
        <v>337</v>
      </c>
      <c r="AB17" s="87">
        <f t="shared" si="10"/>
        <v>745</v>
      </c>
      <c r="AC17" s="87">
        <f t="shared" si="19"/>
        <v>1490</v>
      </c>
      <c r="AD17" s="86">
        <v>1</v>
      </c>
      <c r="AE17" s="86">
        <v>0.5</v>
      </c>
      <c r="AF17" s="91">
        <v>7.0000000000000007E-2</v>
      </c>
      <c r="AG17" s="86">
        <f t="shared" si="3"/>
        <v>0.15999999999999998</v>
      </c>
      <c r="AH17" s="91">
        <v>16.2</v>
      </c>
      <c r="AI17" s="91">
        <v>0.41</v>
      </c>
      <c r="AJ17" s="91">
        <v>0.25</v>
      </c>
    </row>
    <row r="18" spans="1:36" x14ac:dyDescent="0.25">
      <c r="Y18" s="89" t="s">
        <v>385</v>
      </c>
      <c r="Z18" s="86" t="s">
        <v>284</v>
      </c>
      <c r="AA18" s="86" t="s">
        <v>337</v>
      </c>
      <c r="AB18" s="87">
        <f t="shared" si="10"/>
        <v>870</v>
      </c>
      <c r="AC18" s="87">
        <f t="shared" si="19"/>
        <v>1740</v>
      </c>
      <c r="AD18" s="86">
        <v>1</v>
      </c>
      <c r="AE18" s="86">
        <v>0.5</v>
      </c>
      <c r="AF18" s="91">
        <v>0.08</v>
      </c>
      <c r="AG18" s="86">
        <f t="shared" si="3"/>
        <v>0.186</v>
      </c>
      <c r="AH18" s="91">
        <v>17.91</v>
      </c>
      <c r="AI18" s="91">
        <v>0.436</v>
      </c>
      <c r="AJ18" s="91">
        <v>0.25</v>
      </c>
    </row>
    <row r="19" spans="1:36" x14ac:dyDescent="0.25">
      <c r="A19" s="88" t="s">
        <v>380</v>
      </c>
      <c r="M19" s="16" t="s">
        <v>367</v>
      </c>
      <c r="N19" s="16" t="s">
        <v>368</v>
      </c>
      <c r="O19" s="16" t="s">
        <v>369</v>
      </c>
      <c r="P19" s="16" t="s">
        <v>370</v>
      </c>
      <c r="Q19" s="16"/>
      <c r="R19" s="16"/>
      <c r="S19" s="16"/>
      <c r="T19" s="16"/>
      <c r="U19" s="16"/>
      <c r="V19" s="16"/>
      <c r="Y19" s="89" t="s">
        <v>386</v>
      </c>
      <c r="Z19" s="86" t="s">
        <v>285</v>
      </c>
      <c r="AA19" s="86" t="s">
        <v>337</v>
      </c>
      <c r="AB19" s="87">
        <f t="shared" si="10"/>
        <v>1235</v>
      </c>
      <c r="AC19" s="87">
        <f t="shared" si="19"/>
        <v>2470</v>
      </c>
      <c r="AD19" s="86">
        <v>1</v>
      </c>
      <c r="AE19" s="86">
        <v>0.5</v>
      </c>
      <c r="AF19" s="91">
        <v>0.11</v>
      </c>
      <c r="AG19" s="86">
        <f t="shared" si="3"/>
        <v>0.186</v>
      </c>
      <c r="AH19" s="91">
        <v>22.01</v>
      </c>
      <c r="AI19" s="91">
        <v>0.436</v>
      </c>
      <c r="AJ19" s="91">
        <v>0.25</v>
      </c>
    </row>
    <row r="20" spans="1:36" x14ac:dyDescent="0.25">
      <c r="A20" s="86" t="s">
        <v>326</v>
      </c>
      <c r="B20" s="86" t="s">
        <v>334</v>
      </c>
      <c r="C20" s="86" t="s">
        <v>336</v>
      </c>
      <c r="D20" s="86" t="s">
        <v>335</v>
      </c>
      <c r="E20" s="86" t="s">
        <v>361</v>
      </c>
      <c r="F20" s="86" t="s">
        <v>363</v>
      </c>
      <c r="G20" s="86" t="s">
        <v>362</v>
      </c>
      <c r="H20" s="86" t="s">
        <v>364</v>
      </c>
      <c r="I20" s="86" t="s">
        <v>328</v>
      </c>
      <c r="J20" s="86" t="s">
        <v>357</v>
      </c>
      <c r="K20" s="86" t="s">
        <v>355</v>
      </c>
      <c r="L20" s="86" t="s">
        <v>358</v>
      </c>
      <c r="M20" s="86" t="s">
        <v>359</v>
      </c>
      <c r="N20" s="86" t="s">
        <v>360</v>
      </c>
      <c r="O20" s="86" t="s">
        <v>365</v>
      </c>
      <c r="P20" s="86" t="s">
        <v>366</v>
      </c>
      <c r="Q20" s="7"/>
      <c r="R20" s="7"/>
      <c r="S20" s="7"/>
      <c r="T20" s="7"/>
      <c r="U20" s="7"/>
      <c r="V20" s="7"/>
      <c r="Y20" s="89" t="s">
        <v>387</v>
      </c>
      <c r="Z20" s="86" t="s">
        <v>286</v>
      </c>
      <c r="AA20" s="86" t="s">
        <v>337</v>
      </c>
      <c r="AB20" s="87">
        <f t="shared" si="10"/>
        <v>1337.5</v>
      </c>
      <c r="AC20" s="87">
        <f t="shared" si="19"/>
        <v>2675</v>
      </c>
      <c r="AD20" s="86">
        <v>1</v>
      </c>
      <c r="AE20" s="86">
        <v>0.5</v>
      </c>
      <c r="AF20" s="91">
        <v>0.11</v>
      </c>
      <c r="AG20" s="86">
        <f t="shared" si="3"/>
        <v>0.21500000000000002</v>
      </c>
      <c r="AH20" s="91">
        <v>22.18</v>
      </c>
      <c r="AI20" s="91">
        <v>0.46500000000000002</v>
      </c>
      <c r="AJ20" s="91">
        <v>0.25</v>
      </c>
    </row>
    <row r="21" spans="1:36" x14ac:dyDescent="0.25">
      <c r="A21" s="89" t="s">
        <v>388</v>
      </c>
      <c r="B21" s="86" t="s">
        <v>282</v>
      </c>
      <c r="C21" s="86" t="s">
        <v>338</v>
      </c>
      <c r="D21" s="86">
        <v>1</v>
      </c>
      <c r="E21" s="101">
        <f>'FP Background Data'!R12*0.75</f>
        <v>821.25</v>
      </c>
      <c r="F21" s="101">
        <f>'FP Background Data'!R12</f>
        <v>1095</v>
      </c>
      <c r="G21" s="86">
        <f>AG54</f>
        <v>5.4999999999999993E-2</v>
      </c>
      <c r="H21" s="86">
        <f>AG62</f>
        <v>9.2000000000000026E-2</v>
      </c>
      <c r="I21" s="86">
        <v>0.5</v>
      </c>
      <c r="J21" s="86">
        <v>8</v>
      </c>
      <c r="K21" s="86">
        <f>AF54</f>
        <v>7.0000000000000007E-2</v>
      </c>
      <c r="L21" s="86">
        <f>AF58</f>
        <v>13.44</v>
      </c>
      <c r="M21" s="86">
        <f>AH54</f>
        <v>14.87</v>
      </c>
      <c r="N21" s="86">
        <f>AH58</f>
        <v>37.659999999999997</v>
      </c>
      <c r="O21" s="86">
        <f>AH62</f>
        <v>15.54</v>
      </c>
      <c r="P21" s="86">
        <f>AH66</f>
        <v>43.75</v>
      </c>
      <c r="Q21" s="7" t="s">
        <v>49</v>
      </c>
      <c r="R21" s="7"/>
      <c r="S21" s="7"/>
      <c r="T21" s="7"/>
      <c r="U21" s="7"/>
      <c r="V21" s="7"/>
      <c r="Y21" s="89" t="s">
        <v>382</v>
      </c>
      <c r="Z21" s="86" t="s">
        <v>281</v>
      </c>
      <c r="AA21" s="86" t="s">
        <v>337</v>
      </c>
      <c r="AB21" s="87">
        <f t="shared" si="10"/>
        <v>322.5</v>
      </c>
      <c r="AC21" s="87">
        <f t="shared" ref="AC21:AC26" si="20">F3</f>
        <v>645</v>
      </c>
      <c r="AD21" s="86">
        <v>1</v>
      </c>
      <c r="AE21" s="86">
        <v>5</v>
      </c>
      <c r="AF21" s="91">
        <v>9.02</v>
      </c>
      <c r="AG21" s="86">
        <f t="shared" si="3"/>
        <v>9.1000000000000025E-2</v>
      </c>
      <c r="AH21" s="91">
        <v>24.05</v>
      </c>
      <c r="AI21" s="91">
        <v>0.34100000000000003</v>
      </c>
      <c r="AJ21" s="91">
        <v>0.25</v>
      </c>
    </row>
    <row r="22" spans="1:36" x14ac:dyDescent="0.25">
      <c r="A22" s="89" t="s">
        <v>389</v>
      </c>
      <c r="B22" s="86" t="s">
        <v>283</v>
      </c>
      <c r="C22" s="86" t="s">
        <v>338</v>
      </c>
      <c r="D22" s="86">
        <v>1</v>
      </c>
      <c r="E22" s="101">
        <f>'FP Background Data'!R13*0.75</f>
        <v>1121.25</v>
      </c>
      <c r="F22" s="101">
        <f>'FP Background Data'!R13</f>
        <v>1495</v>
      </c>
      <c r="G22" s="86">
        <f t="shared" ref="G22:G24" si="21">AG55</f>
        <v>9.5999999999999974E-2</v>
      </c>
      <c r="H22" s="86">
        <f t="shared" ref="H22:H24" si="22">AG63</f>
        <v>0.16099999999999998</v>
      </c>
      <c r="I22" s="86">
        <v>0.5</v>
      </c>
      <c r="J22" s="86">
        <v>8</v>
      </c>
      <c r="K22" s="86">
        <f t="shared" ref="K22:K24" si="23">AF55</f>
        <v>7.0000000000000007E-2</v>
      </c>
      <c r="L22" s="86">
        <f t="shared" ref="L22:L24" si="24">AF59</f>
        <v>13.44</v>
      </c>
      <c r="M22" s="86">
        <f t="shared" ref="M22:M24" si="25">AH55</f>
        <v>15.59</v>
      </c>
      <c r="N22" s="86">
        <f t="shared" ref="N22:N24" si="26">AH59</f>
        <v>44.29</v>
      </c>
      <c r="O22" s="86">
        <f t="shared" ref="O22:O24" si="27">AH63</f>
        <v>16.21</v>
      </c>
      <c r="P22" s="86">
        <f t="shared" ref="P22:P24" si="28">AH67</f>
        <v>51.5</v>
      </c>
      <c r="Q22" s="7" t="s">
        <v>49</v>
      </c>
      <c r="R22" s="7"/>
      <c r="S22" s="7"/>
      <c r="T22" s="7"/>
      <c r="U22" s="7"/>
      <c r="V22" s="7"/>
      <c r="Y22" s="89" t="s">
        <v>383</v>
      </c>
      <c r="Z22" s="86" t="s">
        <v>282</v>
      </c>
      <c r="AA22" s="86" t="s">
        <v>337</v>
      </c>
      <c r="AB22" s="87">
        <f t="shared" si="10"/>
        <v>575</v>
      </c>
      <c r="AC22" s="87">
        <f t="shared" si="20"/>
        <v>1150</v>
      </c>
      <c r="AD22" s="86">
        <v>1</v>
      </c>
      <c r="AE22" s="86">
        <v>8</v>
      </c>
      <c r="AF22" s="91">
        <v>13.44</v>
      </c>
      <c r="AG22" s="86">
        <f t="shared" si="3"/>
        <v>9.9999999999999978E-2</v>
      </c>
      <c r="AH22" s="91">
        <v>44.88</v>
      </c>
      <c r="AI22" s="91">
        <v>0.35</v>
      </c>
      <c r="AJ22" s="91">
        <v>0.25</v>
      </c>
    </row>
    <row r="23" spans="1:36" x14ac:dyDescent="0.25">
      <c r="A23" s="89" t="s">
        <v>390</v>
      </c>
      <c r="B23" s="86" t="s">
        <v>284</v>
      </c>
      <c r="C23" s="86" t="s">
        <v>338</v>
      </c>
      <c r="D23" s="86">
        <v>1</v>
      </c>
      <c r="E23" s="101">
        <f>'FP Background Data'!R14*0.75</f>
        <v>1526.25</v>
      </c>
      <c r="F23" s="101">
        <f>'FP Background Data'!R14</f>
        <v>2035</v>
      </c>
      <c r="G23" s="86">
        <f t="shared" si="21"/>
        <v>0.14600000000000002</v>
      </c>
      <c r="H23" s="86">
        <f t="shared" si="22"/>
        <v>0.249</v>
      </c>
      <c r="I23" s="86">
        <v>0.5</v>
      </c>
      <c r="J23" s="86">
        <v>8</v>
      </c>
      <c r="K23" s="86">
        <f t="shared" si="23"/>
        <v>0.08</v>
      </c>
      <c r="L23" s="86">
        <f t="shared" si="24"/>
        <v>14.12</v>
      </c>
      <c r="M23" s="86">
        <f t="shared" si="25"/>
        <v>17.64</v>
      </c>
      <c r="N23" s="86">
        <f t="shared" si="26"/>
        <v>57.39</v>
      </c>
      <c r="O23" s="86">
        <f t="shared" si="27"/>
        <v>18.21</v>
      </c>
      <c r="P23" s="86">
        <f t="shared" si="28"/>
        <v>66.59</v>
      </c>
      <c r="Q23" s="7" t="s">
        <v>49</v>
      </c>
      <c r="R23" s="7"/>
      <c r="S23" s="7"/>
      <c r="T23" s="7"/>
      <c r="U23" s="7"/>
      <c r="V23" s="7"/>
      <c r="Y23" s="89" t="s">
        <v>384</v>
      </c>
      <c r="Z23" s="86" t="s">
        <v>283</v>
      </c>
      <c r="AA23" s="86" t="s">
        <v>337</v>
      </c>
      <c r="AB23" s="87">
        <f t="shared" si="10"/>
        <v>745</v>
      </c>
      <c r="AC23" s="87">
        <f t="shared" si="20"/>
        <v>1490</v>
      </c>
      <c r="AD23" s="86">
        <v>1</v>
      </c>
      <c r="AE23" s="86">
        <v>8</v>
      </c>
      <c r="AF23" s="91">
        <v>13.44</v>
      </c>
      <c r="AG23" s="86">
        <f t="shared" si="3"/>
        <v>0.15999999999999998</v>
      </c>
      <c r="AH23" s="91">
        <v>51.41</v>
      </c>
      <c r="AI23" s="91">
        <v>0.41</v>
      </c>
      <c r="AJ23" s="91">
        <v>0.25</v>
      </c>
    </row>
    <row r="24" spans="1:36" x14ac:dyDescent="0.25">
      <c r="A24" s="89" t="s">
        <v>391</v>
      </c>
      <c r="B24" s="86" t="s">
        <v>285</v>
      </c>
      <c r="C24" s="86" t="s">
        <v>338</v>
      </c>
      <c r="D24" s="86">
        <v>1</v>
      </c>
      <c r="E24" s="101">
        <f>'FP Background Data'!R15*0.75</f>
        <v>1860</v>
      </c>
      <c r="F24" s="101">
        <f>'FP Background Data'!R15</f>
        <v>2480</v>
      </c>
      <c r="G24" s="86">
        <f t="shared" si="21"/>
        <v>0.11099999999999999</v>
      </c>
      <c r="H24" s="86">
        <f t="shared" si="22"/>
        <v>0.187</v>
      </c>
      <c r="I24" s="86">
        <v>0.5</v>
      </c>
      <c r="J24" s="86">
        <v>6</v>
      </c>
      <c r="K24" s="86">
        <f t="shared" si="23"/>
        <v>0.11</v>
      </c>
      <c r="L24" s="86">
        <f t="shared" si="24"/>
        <v>9.16</v>
      </c>
      <c r="M24" s="86">
        <f t="shared" si="25"/>
        <v>21.36</v>
      </c>
      <c r="N24" s="86">
        <f t="shared" si="26"/>
        <v>65.05</v>
      </c>
      <c r="O24" s="86">
        <f t="shared" si="27"/>
        <v>22.02</v>
      </c>
      <c r="P24" s="86">
        <f t="shared" si="28"/>
        <v>75.02</v>
      </c>
      <c r="Q24" s="7" t="s">
        <v>49</v>
      </c>
      <c r="R24" s="7"/>
      <c r="S24" s="7"/>
      <c r="T24" s="7"/>
      <c r="U24" s="7"/>
      <c r="V24" s="7"/>
      <c r="Y24" s="89" t="s">
        <v>385</v>
      </c>
      <c r="Z24" s="86" t="s">
        <v>284</v>
      </c>
      <c r="AA24" s="86" t="s">
        <v>337</v>
      </c>
      <c r="AB24" s="87">
        <f t="shared" si="10"/>
        <v>870</v>
      </c>
      <c r="AC24" s="87">
        <f t="shared" si="20"/>
        <v>1740</v>
      </c>
      <c r="AD24" s="86">
        <v>1</v>
      </c>
      <c r="AE24" s="86">
        <v>8</v>
      </c>
      <c r="AF24" s="91">
        <v>14.12</v>
      </c>
      <c r="AG24" s="86">
        <f t="shared" si="3"/>
        <v>0.186</v>
      </c>
      <c r="AH24" s="91">
        <v>61.41</v>
      </c>
      <c r="AI24" s="91">
        <v>0.436</v>
      </c>
      <c r="AJ24" s="91">
        <v>0.25</v>
      </c>
    </row>
    <row r="25" spans="1:36" x14ac:dyDescent="0.25">
      <c r="Y25" s="89" t="s">
        <v>386</v>
      </c>
      <c r="Z25" s="86" t="s">
        <v>285</v>
      </c>
      <c r="AA25" s="86" t="s">
        <v>337</v>
      </c>
      <c r="AB25" s="87">
        <f t="shared" si="10"/>
        <v>1235</v>
      </c>
      <c r="AC25" s="87">
        <f t="shared" si="20"/>
        <v>2470</v>
      </c>
      <c r="AD25" s="86">
        <v>1</v>
      </c>
      <c r="AE25" s="86">
        <v>6</v>
      </c>
      <c r="AF25" s="91">
        <v>9.18</v>
      </c>
      <c r="AG25" s="86">
        <f t="shared" si="3"/>
        <v>0.186</v>
      </c>
      <c r="AH25" s="91">
        <v>74.87</v>
      </c>
      <c r="AI25" s="91">
        <v>0.436</v>
      </c>
      <c r="AJ25" s="91">
        <v>0.25</v>
      </c>
    </row>
    <row r="26" spans="1:36" x14ac:dyDescent="0.25">
      <c r="A26" s="88" t="s">
        <v>381</v>
      </c>
      <c r="M26" s="16" t="s">
        <v>367</v>
      </c>
      <c r="N26" s="16" t="s">
        <v>368</v>
      </c>
      <c r="O26" s="16" t="s">
        <v>369</v>
      </c>
      <c r="P26" s="16" t="s">
        <v>370</v>
      </c>
      <c r="Q26" s="16"/>
      <c r="R26" s="16"/>
      <c r="S26" s="16"/>
      <c r="T26" s="16"/>
      <c r="U26" s="16"/>
      <c r="V26" s="16"/>
      <c r="Y26" s="89" t="s">
        <v>387</v>
      </c>
      <c r="Z26" s="86" t="s">
        <v>286</v>
      </c>
      <c r="AA26" s="86" t="s">
        <v>337</v>
      </c>
      <c r="AB26" s="87">
        <f t="shared" si="10"/>
        <v>1337.5</v>
      </c>
      <c r="AC26" s="87">
        <f t="shared" si="20"/>
        <v>2675</v>
      </c>
      <c r="AD26" s="86">
        <v>1</v>
      </c>
      <c r="AE26" s="86">
        <v>6</v>
      </c>
      <c r="AF26" s="91">
        <v>9.19</v>
      </c>
      <c r="AG26" s="86">
        <f t="shared" si="3"/>
        <v>0.21500000000000002</v>
      </c>
      <c r="AH26" s="91">
        <v>77.86</v>
      </c>
      <c r="AI26" s="91">
        <v>0.46500000000000002</v>
      </c>
      <c r="AJ26" s="91">
        <v>0.25</v>
      </c>
    </row>
    <row r="27" spans="1:36" x14ac:dyDescent="0.25">
      <c r="A27" s="86" t="s">
        <v>326</v>
      </c>
      <c r="B27" s="86" t="s">
        <v>334</v>
      </c>
      <c r="C27" s="86" t="s">
        <v>336</v>
      </c>
      <c r="D27" s="86" t="s">
        <v>335</v>
      </c>
      <c r="E27" s="86" t="s">
        <v>361</v>
      </c>
      <c r="F27" s="86" t="s">
        <v>363</v>
      </c>
      <c r="G27" s="86" t="s">
        <v>362</v>
      </c>
      <c r="H27" s="86" t="s">
        <v>364</v>
      </c>
      <c r="I27" s="86" t="s">
        <v>328</v>
      </c>
      <c r="J27" s="86" t="s">
        <v>357</v>
      </c>
      <c r="K27" s="86" t="s">
        <v>355</v>
      </c>
      <c r="L27" s="86" t="s">
        <v>358</v>
      </c>
      <c r="M27" s="86" t="s">
        <v>359</v>
      </c>
      <c r="N27" s="86" t="s">
        <v>360</v>
      </c>
      <c r="O27" s="86" t="s">
        <v>365</v>
      </c>
      <c r="P27" s="86" t="s">
        <v>366</v>
      </c>
      <c r="Q27" s="7"/>
      <c r="R27" s="7"/>
      <c r="S27" s="7"/>
      <c r="T27" s="7"/>
      <c r="U27" s="7"/>
      <c r="V27" s="7"/>
      <c r="Y27" s="89" t="s">
        <v>396</v>
      </c>
      <c r="Z27" s="86" t="s">
        <v>281</v>
      </c>
      <c r="AA27" s="86" t="s">
        <v>337</v>
      </c>
      <c r="AB27" s="87">
        <f t="shared" si="10"/>
        <v>225</v>
      </c>
      <c r="AC27" s="87">
        <f t="shared" ref="AC27:AC32" si="29">E12</f>
        <v>450</v>
      </c>
      <c r="AD27" s="86">
        <v>2</v>
      </c>
      <c r="AE27" s="89">
        <v>1</v>
      </c>
      <c r="AF27" s="91">
        <v>0.93</v>
      </c>
      <c r="AG27" s="86">
        <f t="shared" si="3"/>
        <v>9.4999999999999973E-2</v>
      </c>
      <c r="AH27" s="91">
        <v>25.09</v>
      </c>
      <c r="AI27" s="91">
        <v>0.34499999999999997</v>
      </c>
      <c r="AJ27" s="91">
        <v>0.25</v>
      </c>
    </row>
    <row r="28" spans="1:36" x14ac:dyDescent="0.25">
      <c r="A28" s="89" t="s">
        <v>392</v>
      </c>
      <c r="B28" s="86" t="s">
        <v>282</v>
      </c>
      <c r="C28" s="86" t="s">
        <v>338</v>
      </c>
      <c r="D28" s="86">
        <v>2</v>
      </c>
      <c r="E28" s="101">
        <f>'FP Background Data'!S12*0.75</f>
        <v>821.25</v>
      </c>
      <c r="F28" s="101">
        <f>'FP Background Data'!S12</f>
        <v>1095</v>
      </c>
      <c r="G28" s="86">
        <f>AG70</f>
        <v>0.10999999999999999</v>
      </c>
      <c r="H28" s="86">
        <f>AG78</f>
        <v>0.17599999999999999</v>
      </c>
      <c r="I28" s="86">
        <v>1</v>
      </c>
      <c r="J28" s="86">
        <v>8</v>
      </c>
      <c r="K28" s="86">
        <f>AF70</f>
        <v>0.37</v>
      </c>
      <c r="L28" s="86">
        <f>AF74</f>
        <v>17.62</v>
      </c>
      <c r="M28" s="86">
        <f>AH70</f>
        <v>35.82</v>
      </c>
      <c r="N28" s="86">
        <f>AH74</f>
        <v>62.53</v>
      </c>
      <c r="O28" s="86">
        <f>AH78</f>
        <v>38.369999999999997</v>
      </c>
      <c r="P28" s="86">
        <f>AH82</f>
        <v>74.03</v>
      </c>
      <c r="Q28" s="7" t="s">
        <v>49</v>
      </c>
      <c r="R28" s="7"/>
      <c r="S28" s="7"/>
      <c r="T28" s="7"/>
      <c r="U28" s="7"/>
      <c r="V28" s="7"/>
      <c r="Y28" s="89" t="s">
        <v>397</v>
      </c>
      <c r="Z28" s="86" t="s">
        <v>282</v>
      </c>
      <c r="AA28" s="86" t="s">
        <v>337</v>
      </c>
      <c r="AB28" s="87">
        <f t="shared" si="10"/>
        <v>416.25</v>
      </c>
      <c r="AC28" s="87">
        <f t="shared" si="29"/>
        <v>832.5</v>
      </c>
      <c r="AD28" s="86">
        <v>2</v>
      </c>
      <c r="AE28" s="86">
        <v>1</v>
      </c>
      <c r="AF28" s="91">
        <v>0.37</v>
      </c>
      <c r="AG28" s="86">
        <f t="shared" si="3"/>
        <v>0.11199999999999999</v>
      </c>
      <c r="AH28" s="91">
        <v>35.950000000000003</v>
      </c>
      <c r="AI28" s="91">
        <v>0.36199999999999999</v>
      </c>
      <c r="AJ28" s="91">
        <v>0.25</v>
      </c>
    </row>
    <row r="29" spans="1:36" x14ac:dyDescent="0.25">
      <c r="A29" s="89" t="s">
        <v>393</v>
      </c>
      <c r="B29" s="86" t="s">
        <v>283</v>
      </c>
      <c r="C29" s="86" t="s">
        <v>338</v>
      </c>
      <c r="D29" s="86">
        <v>2</v>
      </c>
      <c r="E29" s="101">
        <f>'FP Background Data'!S13*0.75</f>
        <v>1008.75</v>
      </c>
      <c r="F29" s="101">
        <f>'FP Background Data'!S13</f>
        <v>1345</v>
      </c>
      <c r="G29" s="86">
        <f t="shared" ref="G29:G31" si="30">AG71</f>
        <v>0.15400000000000003</v>
      </c>
      <c r="H29" s="86">
        <f t="shared" ref="H29:H31" si="31">AG79</f>
        <v>0.249</v>
      </c>
      <c r="I29" s="86">
        <v>1</v>
      </c>
      <c r="J29" s="86">
        <v>8</v>
      </c>
      <c r="K29" s="86">
        <f t="shared" ref="K29:K30" si="32">AF71</f>
        <v>0.37</v>
      </c>
      <c r="L29" s="86">
        <f t="shared" ref="L29:L31" si="33">AF75</f>
        <v>17.63</v>
      </c>
      <c r="M29" s="86">
        <f t="shared" ref="M29:M31" si="34">AH71</f>
        <v>37.69</v>
      </c>
      <c r="N29" s="86">
        <f t="shared" ref="N29:N31" si="35">AH75</f>
        <v>70.680000000000007</v>
      </c>
      <c r="O29" s="86">
        <f t="shared" ref="O29:O31" si="36">AH79</f>
        <v>39.93</v>
      </c>
      <c r="P29" s="86">
        <f t="shared" ref="P29:P31" si="37">AH83</f>
        <v>82.6</v>
      </c>
      <c r="Q29" s="7" t="s">
        <v>49</v>
      </c>
      <c r="R29" s="7"/>
      <c r="S29" s="7"/>
      <c r="T29" s="7"/>
      <c r="U29" s="7"/>
      <c r="V29" s="7"/>
      <c r="Y29" s="89" t="s">
        <v>398</v>
      </c>
      <c r="Z29" s="86" t="s">
        <v>283</v>
      </c>
      <c r="AA29" s="86" t="s">
        <v>337</v>
      </c>
      <c r="AB29" s="87">
        <f t="shared" si="10"/>
        <v>534.375</v>
      </c>
      <c r="AC29" s="87">
        <f t="shared" si="29"/>
        <v>1068.75</v>
      </c>
      <c r="AD29" s="86">
        <v>2</v>
      </c>
      <c r="AE29" s="86">
        <v>1</v>
      </c>
      <c r="AF29" s="91">
        <v>0.37</v>
      </c>
      <c r="AG29" s="86">
        <f t="shared" si="3"/>
        <v>0.16899999999999998</v>
      </c>
      <c r="AH29" s="91">
        <v>38.17</v>
      </c>
      <c r="AI29" s="91">
        <v>0.41899999999999998</v>
      </c>
      <c r="AJ29" s="91">
        <v>0.25</v>
      </c>
    </row>
    <row r="30" spans="1:36" x14ac:dyDescent="0.25">
      <c r="A30" s="89" t="s">
        <v>394</v>
      </c>
      <c r="B30" s="86" t="s">
        <v>284</v>
      </c>
      <c r="C30" s="86" t="s">
        <v>338</v>
      </c>
      <c r="D30" s="86">
        <v>2</v>
      </c>
      <c r="E30" s="101">
        <f>'FP Background Data'!S14*0.75</f>
        <v>1098.75</v>
      </c>
      <c r="F30" s="101">
        <f>'FP Background Data'!S14</f>
        <v>1465</v>
      </c>
      <c r="G30" s="86">
        <f t="shared" si="30"/>
        <v>0.15600000000000003</v>
      </c>
      <c r="H30" s="86">
        <f t="shared" si="31"/>
        <v>0.252</v>
      </c>
      <c r="I30" s="86">
        <v>1.5</v>
      </c>
      <c r="J30" s="86">
        <v>8</v>
      </c>
      <c r="K30" s="86">
        <f t="shared" si="32"/>
        <v>0.76</v>
      </c>
      <c r="L30" s="86">
        <f t="shared" si="33"/>
        <v>17.37</v>
      </c>
      <c r="M30" s="86">
        <f t="shared" si="34"/>
        <v>52.53</v>
      </c>
      <c r="N30" s="86">
        <f t="shared" si="35"/>
        <v>80.67</v>
      </c>
      <c r="O30" s="86">
        <f t="shared" si="36"/>
        <v>56.9</v>
      </c>
      <c r="P30" s="86">
        <f t="shared" si="37"/>
        <v>94.78</v>
      </c>
      <c r="Q30" s="7" t="s">
        <v>49</v>
      </c>
      <c r="R30" s="7"/>
      <c r="S30" s="7"/>
      <c r="T30" s="7"/>
      <c r="U30" s="7"/>
      <c r="V30" s="7"/>
      <c r="Y30" s="89" t="s">
        <v>399</v>
      </c>
      <c r="Z30" s="86" t="s">
        <v>284</v>
      </c>
      <c r="AA30" s="86" t="s">
        <v>337</v>
      </c>
      <c r="AB30" s="87">
        <f t="shared" si="10"/>
        <v>615</v>
      </c>
      <c r="AC30" s="87">
        <f t="shared" si="29"/>
        <v>1230</v>
      </c>
      <c r="AD30" s="86">
        <v>2</v>
      </c>
      <c r="AE30" s="86">
        <v>1</v>
      </c>
      <c r="AF30" s="91">
        <v>0.37</v>
      </c>
      <c r="AG30" s="86">
        <f t="shared" si="3"/>
        <v>0.187</v>
      </c>
      <c r="AH30" s="91">
        <v>42.27</v>
      </c>
      <c r="AI30" s="91">
        <v>0.437</v>
      </c>
      <c r="AJ30" s="91">
        <v>0.25</v>
      </c>
    </row>
    <row r="31" spans="1:36" x14ac:dyDescent="0.25">
      <c r="A31" s="89" t="s">
        <v>395</v>
      </c>
      <c r="B31" s="86" t="s">
        <v>285</v>
      </c>
      <c r="C31" s="86" t="s">
        <v>338</v>
      </c>
      <c r="D31" s="86">
        <v>2</v>
      </c>
      <c r="E31" s="101">
        <f>'FP Background Data'!S15*0.75</f>
        <v>1567.5</v>
      </c>
      <c r="F31" s="101">
        <f>'FP Background Data'!S15</f>
        <v>2090</v>
      </c>
      <c r="G31" s="86">
        <f t="shared" si="30"/>
        <v>0.15600000000000003</v>
      </c>
      <c r="H31" s="86">
        <f t="shared" si="31"/>
        <v>0.251</v>
      </c>
      <c r="I31" s="86">
        <v>1.5</v>
      </c>
      <c r="J31" s="86">
        <v>6</v>
      </c>
      <c r="K31" s="86">
        <f>AF73</f>
        <v>1.46</v>
      </c>
      <c r="L31" s="86">
        <f t="shared" si="33"/>
        <v>16.72</v>
      </c>
      <c r="M31" s="86">
        <f t="shared" si="34"/>
        <v>62.21</v>
      </c>
      <c r="N31" s="86">
        <f t="shared" si="35"/>
        <v>99.54</v>
      </c>
      <c r="O31" s="86">
        <f t="shared" si="36"/>
        <v>66.150000000000006</v>
      </c>
      <c r="P31" s="86">
        <f t="shared" si="37"/>
        <v>114.03</v>
      </c>
      <c r="Q31" s="7" t="s">
        <v>49</v>
      </c>
      <c r="R31" s="7"/>
      <c r="S31" s="7"/>
      <c r="T31" s="7"/>
      <c r="U31" s="7"/>
      <c r="V31" s="7"/>
      <c r="Y31" s="89" t="s">
        <v>400</v>
      </c>
      <c r="Z31" s="86" t="s">
        <v>285</v>
      </c>
      <c r="AA31" s="86" t="s">
        <v>337</v>
      </c>
      <c r="AB31" s="87">
        <f t="shared" si="10"/>
        <v>875.625</v>
      </c>
      <c r="AC31" s="87">
        <f t="shared" si="29"/>
        <v>1751.25</v>
      </c>
      <c r="AD31" s="86">
        <v>2</v>
      </c>
      <c r="AE31" s="86">
        <v>1.5</v>
      </c>
      <c r="AF31" s="91">
        <v>1.46</v>
      </c>
      <c r="AG31" s="86">
        <f t="shared" si="3"/>
        <v>0.187</v>
      </c>
      <c r="AH31" s="91">
        <v>63.82</v>
      </c>
      <c r="AI31" s="91">
        <v>0.437</v>
      </c>
      <c r="AJ31" s="91">
        <v>0.25</v>
      </c>
    </row>
    <row r="32" spans="1:36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Y32" s="89" t="s">
        <v>401</v>
      </c>
      <c r="Z32" s="86" t="s">
        <v>286</v>
      </c>
      <c r="AA32" s="86" t="s">
        <v>337</v>
      </c>
      <c r="AB32" s="87">
        <f t="shared" si="10"/>
        <v>916.875</v>
      </c>
      <c r="AC32" s="87">
        <f t="shared" si="29"/>
        <v>1833.75</v>
      </c>
      <c r="AD32" s="86">
        <v>2</v>
      </c>
      <c r="AE32" s="86">
        <v>1.5</v>
      </c>
      <c r="AF32" s="91">
        <v>1.46</v>
      </c>
      <c r="AG32" s="86">
        <f t="shared" si="3"/>
        <v>0.20200000000000001</v>
      </c>
      <c r="AH32" s="91">
        <v>64.45</v>
      </c>
      <c r="AI32" s="91">
        <v>0.45200000000000001</v>
      </c>
      <c r="AJ32" s="91">
        <v>0.25</v>
      </c>
    </row>
    <row r="33" spans="1:36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Y33" s="89" t="s">
        <v>396</v>
      </c>
      <c r="Z33" s="86" t="s">
        <v>281</v>
      </c>
      <c r="AA33" s="86" t="s">
        <v>337</v>
      </c>
      <c r="AB33" s="87">
        <f t="shared" si="10"/>
        <v>225</v>
      </c>
      <c r="AC33" s="87">
        <f t="shared" ref="AC33:AC38" si="38">E12</f>
        <v>450</v>
      </c>
      <c r="AD33" s="86">
        <v>2</v>
      </c>
      <c r="AE33" s="89">
        <v>5</v>
      </c>
      <c r="AF33" s="91">
        <v>16.25</v>
      </c>
      <c r="AG33" s="86">
        <f t="shared" si="3"/>
        <v>9.4999999999999973E-2</v>
      </c>
      <c r="AH33" s="91">
        <v>33.15</v>
      </c>
      <c r="AI33" s="91">
        <v>0.34499999999999997</v>
      </c>
      <c r="AJ33" s="91">
        <v>0.25</v>
      </c>
    </row>
    <row r="34" spans="1:36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Y34" s="89" t="s">
        <v>397</v>
      </c>
      <c r="Z34" s="86" t="s">
        <v>282</v>
      </c>
      <c r="AA34" s="86" t="s">
        <v>337</v>
      </c>
      <c r="AB34" s="87">
        <f t="shared" si="10"/>
        <v>416.25</v>
      </c>
      <c r="AC34" s="87">
        <f t="shared" si="38"/>
        <v>832.5</v>
      </c>
      <c r="AD34" s="86">
        <v>2</v>
      </c>
      <c r="AE34" s="86">
        <v>8</v>
      </c>
      <c r="AF34" s="91">
        <v>17.62</v>
      </c>
      <c r="AG34" s="86">
        <f t="shared" si="3"/>
        <v>0.11199999999999999</v>
      </c>
      <c r="AH34" s="91">
        <v>63.08</v>
      </c>
      <c r="AI34" s="91">
        <v>0.36199999999999999</v>
      </c>
      <c r="AJ34" s="91">
        <v>0.25</v>
      </c>
    </row>
    <row r="35" spans="1:36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Y35" s="89" t="s">
        <v>398</v>
      </c>
      <c r="Z35" s="86" t="s">
        <v>283</v>
      </c>
      <c r="AA35" s="86" t="s">
        <v>337</v>
      </c>
      <c r="AB35" s="87">
        <f t="shared" si="10"/>
        <v>534.375</v>
      </c>
      <c r="AC35" s="87">
        <f t="shared" si="38"/>
        <v>1068.75</v>
      </c>
      <c r="AD35" s="86">
        <v>2</v>
      </c>
      <c r="AE35" s="86">
        <v>8</v>
      </c>
      <c r="AF35" s="91">
        <v>17.63</v>
      </c>
      <c r="AG35" s="86">
        <f t="shared" si="3"/>
        <v>0.16899999999999998</v>
      </c>
      <c r="AH35" s="91">
        <v>73.040000000000006</v>
      </c>
      <c r="AI35" s="91">
        <v>0.41899999999999998</v>
      </c>
      <c r="AJ35" s="91">
        <v>0.25</v>
      </c>
    </row>
    <row r="36" spans="1:36" x14ac:dyDescent="0.25">
      <c r="Y36" s="89" t="s">
        <v>399</v>
      </c>
      <c r="Z36" s="86" t="s">
        <v>284</v>
      </c>
      <c r="AA36" s="86" t="s">
        <v>337</v>
      </c>
      <c r="AB36" s="87">
        <f t="shared" si="10"/>
        <v>615</v>
      </c>
      <c r="AC36" s="87">
        <f t="shared" si="38"/>
        <v>1230</v>
      </c>
      <c r="AD36" s="86">
        <v>2</v>
      </c>
      <c r="AE36" s="86">
        <v>8</v>
      </c>
      <c r="AF36" s="91">
        <v>17.37</v>
      </c>
      <c r="AG36" s="86">
        <f t="shared" si="3"/>
        <v>0.187</v>
      </c>
      <c r="AH36" s="91">
        <v>86.12</v>
      </c>
      <c r="AI36" s="91">
        <v>0.437</v>
      </c>
      <c r="AJ36" s="91">
        <v>0.25</v>
      </c>
    </row>
    <row r="37" spans="1:36" x14ac:dyDescent="0.25">
      <c r="Y37" s="89" t="s">
        <v>400</v>
      </c>
      <c r="Z37" s="86" t="s">
        <v>285</v>
      </c>
      <c r="AA37" s="86" t="s">
        <v>337</v>
      </c>
      <c r="AB37" s="87">
        <f t="shared" si="10"/>
        <v>875.625</v>
      </c>
      <c r="AC37" s="87">
        <f t="shared" si="38"/>
        <v>1751.25</v>
      </c>
      <c r="AD37" s="86">
        <v>2</v>
      </c>
      <c r="AE37" s="86">
        <v>6</v>
      </c>
      <c r="AF37" s="91">
        <v>16.739999999999998</v>
      </c>
      <c r="AG37" s="86">
        <f t="shared" si="3"/>
        <v>0.187</v>
      </c>
      <c r="AH37" s="91">
        <v>105.12</v>
      </c>
      <c r="AI37" s="91">
        <v>0.437</v>
      </c>
      <c r="AJ37" s="91">
        <v>0.25</v>
      </c>
    </row>
    <row r="38" spans="1:36" x14ac:dyDescent="0.25">
      <c r="Y38" s="89" t="s">
        <v>401</v>
      </c>
      <c r="Z38" s="86" t="s">
        <v>286</v>
      </c>
      <c r="AA38" s="86" t="s">
        <v>337</v>
      </c>
      <c r="AB38" s="87">
        <f t="shared" si="10"/>
        <v>916.875</v>
      </c>
      <c r="AC38" s="87">
        <f t="shared" si="38"/>
        <v>1833.75</v>
      </c>
      <c r="AD38" s="86">
        <v>2</v>
      </c>
      <c r="AE38" s="86">
        <v>6</v>
      </c>
      <c r="AF38" s="91">
        <v>16.739999999999998</v>
      </c>
      <c r="AG38" s="86">
        <f t="shared" si="3"/>
        <v>0.20200000000000001</v>
      </c>
      <c r="AH38" s="91">
        <v>107.45</v>
      </c>
      <c r="AI38" s="91">
        <v>0.45200000000000001</v>
      </c>
      <c r="AJ38" s="91">
        <v>0.25</v>
      </c>
    </row>
    <row r="39" spans="1:36" x14ac:dyDescent="0.25">
      <c r="Y39" s="89" t="s">
        <v>396</v>
      </c>
      <c r="Z39" s="86" t="s">
        <v>281</v>
      </c>
      <c r="AA39" s="86" t="s">
        <v>337</v>
      </c>
      <c r="AB39" s="87">
        <f t="shared" si="10"/>
        <v>300</v>
      </c>
      <c r="AC39" s="87">
        <f t="shared" ref="AC39:AC44" si="39">F12</f>
        <v>600</v>
      </c>
      <c r="AD39" s="86">
        <v>2</v>
      </c>
      <c r="AE39" s="89">
        <v>1</v>
      </c>
      <c r="AF39" s="91">
        <v>0.94</v>
      </c>
      <c r="AG39" s="86">
        <f t="shared" si="3"/>
        <v>0.15300000000000002</v>
      </c>
      <c r="AH39" s="91">
        <v>28.01</v>
      </c>
      <c r="AI39" s="91">
        <v>0.40300000000000002</v>
      </c>
      <c r="AJ39" s="91">
        <v>0.25</v>
      </c>
    </row>
    <row r="40" spans="1:36" x14ac:dyDescent="0.25">
      <c r="Y40" s="89" t="s">
        <v>397</v>
      </c>
      <c r="Z40" s="86" t="s">
        <v>282</v>
      </c>
      <c r="AA40" s="86" t="s">
        <v>337</v>
      </c>
      <c r="AB40" s="87">
        <f t="shared" si="10"/>
        <v>555</v>
      </c>
      <c r="AC40" s="87">
        <f t="shared" si="39"/>
        <v>1110</v>
      </c>
      <c r="AD40" s="86">
        <v>2</v>
      </c>
      <c r="AE40" s="86">
        <v>1</v>
      </c>
      <c r="AF40" s="91">
        <v>0.37</v>
      </c>
      <c r="AG40" s="86">
        <f t="shared" si="3"/>
        <v>0.18</v>
      </c>
      <c r="AH40" s="91">
        <v>38.479999999999997</v>
      </c>
      <c r="AI40" s="91">
        <v>0.43</v>
      </c>
      <c r="AJ40" s="91">
        <v>0.25</v>
      </c>
    </row>
    <row r="41" spans="1:36" x14ac:dyDescent="0.25">
      <c r="Y41" s="89" t="s">
        <v>398</v>
      </c>
      <c r="Z41" s="86" t="s">
        <v>283</v>
      </c>
      <c r="AA41" s="86" t="s">
        <v>337</v>
      </c>
      <c r="AB41" s="87">
        <f t="shared" si="10"/>
        <v>712.5</v>
      </c>
      <c r="AC41" s="87">
        <f t="shared" si="39"/>
        <v>1425</v>
      </c>
      <c r="AD41" s="86">
        <v>2</v>
      </c>
      <c r="AE41" s="86">
        <v>1</v>
      </c>
      <c r="AF41" s="91">
        <v>0.37</v>
      </c>
      <c r="AG41" s="86">
        <f t="shared" si="3"/>
        <v>0.27500000000000002</v>
      </c>
      <c r="AH41" s="91">
        <v>40.33</v>
      </c>
      <c r="AI41" s="91">
        <v>0.52500000000000002</v>
      </c>
      <c r="AJ41" s="91">
        <v>0.25</v>
      </c>
    </row>
    <row r="42" spans="1:36" x14ac:dyDescent="0.25">
      <c r="Y42" s="89" t="s">
        <v>399</v>
      </c>
      <c r="Z42" s="86" t="s">
        <v>284</v>
      </c>
      <c r="AA42" s="86" t="s">
        <v>337</v>
      </c>
      <c r="AB42" s="87">
        <f t="shared" si="10"/>
        <v>820</v>
      </c>
      <c r="AC42" s="87">
        <f t="shared" si="39"/>
        <v>1640</v>
      </c>
      <c r="AD42" s="86">
        <v>2</v>
      </c>
      <c r="AE42" s="86">
        <v>1</v>
      </c>
      <c r="AF42" s="91">
        <v>0.37</v>
      </c>
      <c r="AG42" s="86">
        <f t="shared" si="3"/>
        <v>0.30600000000000005</v>
      </c>
      <c r="AH42" s="91">
        <v>44.36</v>
      </c>
      <c r="AI42" s="91">
        <v>0.55600000000000005</v>
      </c>
      <c r="AJ42" s="91">
        <v>0.25</v>
      </c>
    </row>
    <row r="43" spans="1:36" x14ac:dyDescent="0.25">
      <c r="Y43" s="89" t="s">
        <v>400</v>
      </c>
      <c r="Z43" s="86" t="s">
        <v>285</v>
      </c>
      <c r="AA43" s="86" t="s">
        <v>337</v>
      </c>
      <c r="AB43" s="87">
        <f t="shared" si="10"/>
        <v>1167.5</v>
      </c>
      <c r="AC43" s="87">
        <f t="shared" si="39"/>
        <v>2335</v>
      </c>
      <c r="AD43" s="86">
        <v>2</v>
      </c>
      <c r="AE43" s="86">
        <v>1.5</v>
      </c>
      <c r="AF43" s="91">
        <v>1.47</v>
      </c>
      <c r="AG43" s="86">
        <f t="shared" si="3"/>
        <v>0.30300000000000005</v>
      </c>
      <c r="AH43" s="91">
        <v>67.47</v>
      </c>
      <c r="AI43" s="91">
        <v>0.55300000000000005</v>
      </c>
      <c r="AJ43" s="91">
        <v>0.25</v>
      </c>
    </row>
    <row r="44" spans="1:36" x14ac:dyDescent="0.25">
      <c r="Y44" s="89" t="s">
        <v>401</v>
      </c>
      <c r="Z44" s="86" t="s">
        <v>286</v>
      </c>
      <c r="AA44" s="86" t="s">
        <v>337</v>
      </c>
      <c r="AB44" s="87">
        <f t="shared" si="10"/>
        <v>1222.5</v>
      </c>
      <c r="AC44" s="87">
        <f t="shared" si="39"/>
        <v>2445</v>
      </c>
      <c r="AD44" s="86">
        <v>2</v>
      </c>
      <c r="AE44" s="86">
        <v>1.5</v>
      </c>
      <c r="AF44" s="91">
        <v>1.47</v>
      </c>
      <c r="AG44" s="86">
        <f t="shared" si="3"/>
        <v>0.32799999999999996</v>
      </c>
      <c r="AH44" s="91">
        <v>67.989999999999995</v>
      </c>
      <c r="AI44" s="91">
        <v>0.57799999999999996</v>
      </c>
      <c r="AJ44" s="91">
        <v>0.25</v>
      </c>
    </row>
    <row r="45" spans="1:36" x14ac:dyDescent="0.25">
      <c r="Y45" s="89" t="s">
        <v>396</v>
      </c>
      <c r="Z45" s="86" t="s">
        <v>281</v>
      </c>
      <c r="AA45" s="86" t="s">
        <v>337</v>
      </c>
      <c r="AB45" s="87">
        <f t="shared" si="10"/>
        <v>300</v>
      </c>
      <c r="AC45" s="87">
        <f t="shared" ref="AC45:AC50" si="40">F12</f>
        <v>600</v>
      </c>
      <c r="AD45" s="86">
        <v>2</v>
      </c>
      <c r="AE45" s="89">
        <v>5</v>
      </c>
      <c r="AF45" s="91">
        <v>16.27</v>
      </c>
      <c r="AG45" s="86">
        <f t="shared" si="3"/>
        <v>0.15300000000000002</v>
      </c>
      <c r="AH45" s="91">
        <v>39.25</v>
      </c>
      <c r="AI45" s="91">
        <v>0.40300000000000002</v>
      </c>
      <c r="AJ45" s="91">
        <v>0.25</v>
      </c>
    </row>
    <row r="46" spans="1:36" x14ac:dyDescent="0.25">
      <c r="Y46" s="89" t="s">
        <v>397</v>
      </c>
      <c r="Z46" s="86" t="s">
        <v>282</v>
      </c>
      <c r="AA46" s="86" t="s">
        <v>337</v>
      </c>
      <c r="AB46" s="87">
        <f t="shared" si="10"/>
        <v>555</v>
      </c>
      <c r="AC46" s="87">
        <f t="shared" si="40"/>
        <v>1110</v>
      </c>
      <c r="AD46" s="86">
        <v>2</v>
      </c>
      <c r="AE46" s="86">
        <v>8</v>
      </c>
      <c r="AF46" s="91">
        <v>17.63</v>
      </c>
      <c r="AG46" s="86">
        <f t="shared" si="3"/>
        <v>0.18</v>
      </c>
      <c r="AH46" s="91">
        <v>74.59</v>
      </c>
      <c r="AI46" s="91">
        <v>0.43</v>
      </c>
      <c r="AJ46" s="91">
        <v>0.25</v>
      </c>
    </row>
    <row r="47" spans="1:36" x14ac:dyDescent="0.25">
      <c r="Y47" s="89" t="s">
        <v>398</v>
      </c>
      <c r="Z47" s="86" t="s">
        <v>283</v>
      </c>
      <c r="AA47" s="86" t="s">
        <v>337</v>
      </c>
      <c r="AB47" s="87">
        <f t="shared" si="10"/>
        <v>712.5</v>
      </c>
      <c r="AC47" s="87">
        <f t="shared" si="40"/>
        <v>1425</v>
      </c>
      <c r="AD47" s="86">
        <v>2</v>
      </c>
      <c r="AE47" s="86">
        <v>8</v>
      </c>
      <c r="AF47" s="91">
        <v>17.64</v>
      </c>
      <c r="AG47" s="86">
        <f t="shared" si="3"/>
        <v>0.27500000000000002</v>
      </c>
      <c r="AH47" s="91">
        <v>85.04</v>
      </c>
      <c r="AI47" s="91">
        <v>0.52500000000000002</v>
      </c>
      <c r="AJ47" s="91">
        <v>0.25</v>
      </c>
    </row>
    <row r="48" spans="1:36" x14ac:dyDescent="0.25">
      <c r="Y48" s="89" t="s">
        <v>399</v>
      </c>
      <c r="Z48" s="86" t="s">
        <v>284</v>
      </c>
      <c r="AA48" s="86" t="s">
        <v>337</v>
      </c>
      <c r="AB48" s="87">
        <f t="shared" si="10"/>
        <v>820</v>
      </c>
      <c r="AC48" s="87">
        <f t="shared" si="40"/>
        <v>1640</v>
      </c>
      <c r="AD48" s="86">
        <v>2</v>
      </c>
      <c r="AE48" s="86">
        <v>8</v>
      </c>
      <c r="AF48" s="91">
        <v>17.38</v>
      </c>
      <c r="AG48" s="86">
        <f t="shared" si="3"/>
        <v>0.30600000000000005</v>
      </c>
      <c r="AH48" s="91">
        <v>100.46</v>
      </c>
      <c r="AI48" s="91">
        <v>0.55600000000000005</v>
      </c>
      <c r="AJ48" s="91">
        <v>0.25</v>
      </c>
    </row>
    <row r="49" spans="1:36" x14ac:dyDescent="0.25">
      <c r="Y49" s="89" t="s">
        <v>400</v>
      </c>
      <c r="Z49" s="86" t="s">
        <v>285</v>
      </c>
      <c r="AA49" s="86" t="s">
        <v>337</v>
      </c>
      <c r="AB49" s="87">
        <f t="shared" si="10"/>
        <v>1167.5</v>
      </c>
      <c r="AC49" s="87">
        <f t="shared" si="40"/>
        <v>2335</v>
      </c>
      <c r="AD49" s="86">
        <v>2</v>
      </c>
      <c r="AE49" s="86">
        <v>6</v>
      </c>
      <c r="AF49" s="91">
        <v>16.79</v>
      </c>
      <c r="AG49" s="86">
        <f t="shared" si="3"/>
        <v>0.30300000000000005</v>
      </c>
      <c r="AH49" s="91">
        <v>119.57</v>
      </c>
      <c r="AI49" s="91">
        <v>0.55300000000000005</v>
      </c>
      <c r="AJ49" s="91">
        <v>0.25</v>
      </c>
    </row>
    <row r="50" spans="1:36" x14ac:dyDescent="0.25">
      <c r="Y50" s="89" t="s">
        <v>401</v>
      </c>
      <c r="Z50" s="86" t="s">
        <v>286</v>
      </c>
      <c r="AA50" s="86" t="s">
        <v>337</v>
      </c>
      <c r="AB50" s="87">
        <f t="shared" si="10"/>
        <v>1222.5</v>
      </c>
      <c r="AC50" s="87">
        <f t="shared" si="40"/>
        <v>2445</v>
      </c>
      <c r="AD50" s="86">
        <v>2</v>
      </c>
      <c r="AE50" s="86">
        <v>6</v>
      </c>
      <c r="AF50" s="91">
        <v>16.79</v>
      </c>
      <c r="AG50" s="86">
        <f t="shared" si="3"/>
        <v>0.32799999999999996</v>
      </c>
      <c r="AH50" s="91">
        <v>121.85</v>
      </c>
      <c r="AI50" s="91">
        <v>0.57799999999999996</v>
      </c>
      <c r="AJ50" s="91">
        <v>0.25</v>
      </c>
    </row>
    <row r="51" spans="1:36" x14ac:dyDescent="0.25">
      <c r="A51" s="92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</row>
    <row r="52" spans="1:36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Y52" s="88" t="s">
        <v>377</v>
      </c>
    </row>
    <row r="53" spans="1:36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Y53" s="86" t="s">
        <v>326</v>
      </c>
      <c r="Z53" s="86" t="s">
        <v>334</v>
      </c>
      <c r="AA53" s="86" t="s">
        <v>336</v>
      </c>
      <c r="AB53" s="86" t="s">
        <v>403</v>
      </c>
      <c r="AC53" s="86" t="s">
        <v>402</v>
      </c>
      <c r="AD53" s="86" t="s">
        <v>335</v>
      </c>
      <c r="AE53" s="86" t="s">
        <v>328</v>
      </c>
      <c r="AF53" s="86" t="s">
        <v>329</v>
      </c>
      <c r="AG53" s="86" t="s">
        <v>20</v>
      </c>
      <c r="AH53" s="86" t="s">
        <v>330</v>
      </c>
      <c r="AI53" s="90" t="s">
        <v>352</v>
      </c>
      <c r="AJ53" s="90" t="s">
        <v>353</v>
      </c>
    </row>
    <row r="54" spans="1:36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Y54" s="89" t="s">
        <v>388</v>
      </c>
      <c r="Z54" s="86" t="s">
        <v>282</v>
      </c>
      <c r="AA54" s="86" t="s">
        <v>338</v>
      </c>
      <c r="AB54" s="87">
        <f t="shared" ref="AB54:AB85" si="41">AC54/2</f>
        <v>410.625</v>
      </c>
      <c r="AC54" s="87">
        <f>E21</f>
        <v>821.25</v>
      </c>
      <c r="AD54" s="86">
        <v>1</v>
      </c>
      <c r="AE54" s="86">
        <v>0.5</v>
      </c>
      <c r="AF54" s="94">
        <v>7.0000000000000007E-2</v>
      </c>
      <c r="AG54" s="86">
        <f>AI54-AJ54</f>
        <v>5.4999999999999993E-2</v>
      </c>
      <c r="AH54" s="91">
        <v>14.87</v>
      </c>
      <c r="AI54" s="94">
        <v>0.30499999999999999</v>
      </c>
      <c r="AJ54" s="94">
        <v>0.25</v>
      </c>
    </row>
    <row r="55" spans="1:36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Y55" s="89" t="s">
        <v>389</v>
      </c>
      <c r="Z55" s="86" t="s">
        <v>283</v>
      </c>
      <c r="AA55" s="86" t="s">
        <v>338</v>
      </c>
      <c r="AB55" s="87">
        <f t="shared" si="41"/>
        <v>560.625</v>
      </c>
      <c r="AC55" s="87">
        <f t="shared" ref="AC55:AC57" si="42">E22</f>
        <v>1121.25</v>
      </c>
      <c r="AD55" s="86">
        <v>1</v>
      </c>
      <c r="AE55" s="86">
        <v>0.5</v>
      </c>
      <c r="AF55" s="94">
        <v>7.0000000000000007E-2</v>
      </c>
      <c r="AG55" s="86">
        <f t="shared" ref="AG55:AG85" si="43">AI55-AJ55</f>
        <v>9.5999999999999974E-2</v>
      </c>
      <c r="AH55" s="91">
        <v>15.59</v>
      </c>
      <c r="AI55" s="94">
        <v>0.34599999999999997</v>
      </c>
      <c r="AJ55" s="94">
        <v>0.25</v>
      </c>
    </row>
    <row r="56" spans="1:36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Y56" s="89" t="s">
        <v>390</v>
      </c>
      <c r="Z56" s="86" t="s">
        <v>284</v>
      </c>
      <c r="AA56" s="86" t="s">
        <v>338</v>
      </c>
      <c r="AB56" s="87">
        <f t="shared" si="41"/>
        <v>763.125</v>
      </c>
      <c r="AC56" s="87">
        <f t="shared" si="42"/>
        <v>1526.25</v>
      </c>
      <c r="AD56" s="86">
        <v>1</v>
      </c>
      <c r="AE56" s="86">
        <v>0.5</v>
      </c>
      <c r="AF56" s="94">
        <v>0.08</v>
      </c>
      <c r="AG56" s="86">
        <f t="shared" si="43"/>
        <v>0.14600000000000002</v>
      </c>
      <c r="AH56" s="91">
        <v>17.64</v>
      </c>
      <c r="AI56" s="94">
        <v>0.39600000000000002</v>
      </c>
      <c r="AJ56" s="94">
        <v>0.25</v>
      </c>
    </row>
    <row r="57" spans="1:36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Y57" s="89" t="s">
        <v>391</v>
      </c>
      <c r="Z57" s="86" t="s">
        <v>285</v>
      </c>
      <c r="AA57" s="86" t="s">
        <v>338</v>
      </c>
      <c r="AB57" s="87">
        <f t="shared" si="41"/>
        <v>930</v>
      </c>
      <c r="AC57" s="87">
        <f t="shared" si="42"/>
        <v>1860</v>
      </c>
      <c r="AD57" s="86">
        <v>1</v>
      </c>
      <c r="AE57" s="86">
        <v>0.5</v>
      </c>
      <c r="AF57" s="94">
        <v>0.11</v>
      </c>
      <c r="AG57" s="86">
        <f t="shared" si="43"/>
        <v>0.11099999999999999</v>
      </c>
      <c r="AH57" s="91">
        <v>21.36</v>
      </c>
      <c r="AI57" s="94">
        <v>0.36099999999999999</v>
      </c>
      <c r="AJ57" s="94">
        <v>0.25</v>
      </c>
    </row>
    <row r="58" spans="1:36" x14ac:dyDescent="0.25">
      <c r="A58" s="92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Y58" s="89" t="s">
        <v>388</v>
      </c>
      <c r="Z58" s="86" t="s">
        <v>282</v>
      </c>
      <c r="AA58" s="86" t="s">
        <v>338</v>
      </c>
      <c r="AB58" s="87">
        <f t="shared" si="41"/>
        <v>410.625</v>
      </c>
      <c r="AC58" s="87">
        <f>E21</f>
        <v>821.25</v>
      </c>
      <c r="AD58" s="86">
        <v>1</v>
      </c>
      <c r="AE58" s="86">
        <v>8</v>
      </c>
      <c r="AF58" s="94">
        <v>13.44</v>
      </c>
      <c r="AG58" s="86">
        <f t="shared" si="43"/>
        <v>5.4999999999999993E-2</v>
      </c>
      <c r="AH58" s="91">
        <v>37.659999999999997</v>
      </c>
      <c r="AI58" s="94">
        <v>0.30499999999999999</v>
      </c>
      <c r="AJ58" s="94">
        <v>0.25</v>
      </c>
    </row>
    <row r="59" spans="1:36" x14ac:dyDescent="0.2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Y59" s="89" t="s">
        <v>389</v>
      </c>
      <c r="Z59" s="86" t="s">
        <v>283</v>
      </c>
      <c r="AA59" s="86" t="s">
        <v>338</v>
      </c>
      <c r="AB59" s="87">
        <f t="shared" si="41"/>
        <v>560.625</v>
      </c>
      <c r="AC59" s="87">
        <f>E22</f>
        <v>1121.25</v>
      </c>
      <c r="AD59" s="86">
        <v>1</v>
      </c>
      <c r="AE59" s="86">
        <v>8</v>
      </c>
      <c r="AF59" s="94">
        <v>13.44</v>
      </c>
      <c r="AG59" s="86">
        <f t="shared" si="43"/>
        <v>9.5999999999999974E-2</v>
      </c>
      <c r="AH59" s="91">
        <v>44.29</v>
      </c>
      <c r="AI59" s="94">
        <v>0.34599999999999997</v>
      </c>
      <c r="AJ59" s="94">
        <v>0.25</v>
      </c>
    </row>
    <row r="60" spans="1:36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Y60" s="89" t="s">
        <v>390</v>
      </c>
      <c r="Z60" s="86" t="s">
        <v>284</v>
      </c>
      <c r="AA60" s="86" t="s">
        <v>338</v>
      </c>
      <c r="AB60" s="87">
        <f t="shared" si="41"/>
        <v>763.125</v>
      </c>
      <c r="AC60" s="87">
        <f>E23</f>
        <v>1526.25</v>
      </c>
      <c r="AD60" s="86">
        <v>1</v>
      </c>
      <c r="AE60" s="86">
        <v>8</v>
      </c>
      <c r="AF60" s="94">
        <v>14.12</v>
      </c>
      <c r="AG60" s="86">
        <f t="shared" si="43"/>
        <v>0.14600000000000002</v>
      </c>
      <c r="AH60" s="91">
        <v>57.39</v>
      </c>
      <c r="AI60" s="94">
        <v>0.39600000000000002</v>
      </c>
      <c r="AJ60" s="94">
        <v>0.25</v>
      </c>
    </row>
    <row r="61" spans="1:36" x14ac:dyDescent="0.2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Y61" s="89" t="s">
        <v>391</v>
      </c>
      <c r="Z61" s="86" t="s">
        <v>285</v>
      </c>
      <c r="AA61" s="86" t="s">
        <v>338</v>
      </c>
      <c r="AB61" s="87">
        <f t="shared" si="41"/>
        <v>930</v>
      </c>
      <c r="AC61" s="87">
        <f>E24</f>
        <v>1860</v>
      </c>
      <c r="AD61" s="86">
        <v>1</v>
      </c>
      <c r="AE61" s="86">
        <v>6</v>
      </c>
      <c r="AF61" s="94">
        <v>9.16</v>
      </c>
      <c r="AG61" s="86">
        <f t="shared" si="43"/>
        <v>0.11099999999999999</v>
      </c>
      <c r="AH61" s="91">
        <v>65.05</v>
      </c>
      <c r="AI61" s="94">
        <v>0.36099999999999999</v>
      </c>
      <c r="AJ61" s="94">
        <v>0.25</v>
      </c>
    </row>
    <row r="62" spans="1:36" x14ac:dyDescent="0.2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Y62" s="89" t="s">
        <v>388</v>
      </c>
      <c r="Z62" s="86" t="s">
        <v>282</v>
      </c>
      <c r="AA62" s="86" t="s">
        <v>338</v>
      </c>
      <c r="AB62" s="87">
        <f t="shared" si="41"/>
        <v>547.5</v>
      </c>
      <c r="AC62" s="87">
        <f>F21</f>
        <v>1095</v>
      </c>
      <c r="AD62" s="86">
        <v>1</v>
      </c>
      <c r="AE62" s="86">
        <v>0.5</v>
      </c>
      <c r="AF62" s="94">
        <v>7.0000000000000007E-2</v>
      </c>
      <c r="AG62" s="86">
        <f t="shared" si="43"/>
        <v>9.2000000000000026E-2</v>
      </c>
      <c r="AH62" s="91">
        <v>15.54</v>
      </c>
      <c r="AI62" s="94">
        <v>0.34200000000000003</v>
      </c>
      <c r="AJ62" s="94">
        <v>0.25</v>
      </c>
    </row>
    <row r="63" spans="1:36" x14ac:dyDescent="0.2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Y63" s="89" t="s">
        <v>389</v>
      </c>
      <c r="Z63" s="86" t="s">
        <v>283</v>
      </c>
      <c r="AA63" s="86" t="s">
        <v>338</v>
      </c>
      <c r="AB63" s="87">
        <f t="shared" si="41"/>
        <v>747.5</v>
      </c>
      <c r="AC63" s="87">
        <f>F22</f>
        <v>1495</v>
      </c>
      <c r="AD63" s="86">
        <v>1</v>
      </c>
      <c r="AE63" s="86">
        <v>0.5</v>
      </c>
      <c r="AF63" s="94">
        <v>7.0000000000000007E-2</v>
      </c>
      <c r="AG63" s="86">
        <f t="shared" si="43"/>
        <v>0.16099999999999998</v>
      </c>
      <c r="AH63" s="91">
        <v>16.21</v>
      </c>
      <c r="AI63" s="94">
        <v>0.41099999999999998</v>
      </c>
      <c r="AJ63" s="94">
        <v>0.25</v>
      </c>
    </row>
    <row r="64" spans="1:36" x14ac:dyDescent="0.25">
      <c r="Y64" s="89" t="s">
        <v>390</v>
      </c>
      <c r="Z64" s="86" t="s">
        <v>284</v>
      </c>
      <c r="AA64" s="86" t="s">
        <v>338</v>
      </c>
      <c r="AB64" s="87">
        <f t="shared" si="41"/>
        <v>1017.5</v>
      </c>
      <c r="AC64" s="87">
        <f>F23</f>
        <v>2035</v>
      </c>
      <c r="AD64" s="86">
        <v>1</v>
      </c>
      <c r="AE64" s="86">
        <v>0.5</v>
      </c>
      <c r="AF64" s="94">
        <v>0.08</v>
      </c>
      <c r="AG64" s="86">
        <f t="shared" si="43"/>
        <v>0.249</v>
      </c>
      <c r="AH64" s="91">
        <v>18.21</v>
      </c>
      <c r="AI64" s="94">
        <v>0.499</v>
      </c>
      <c r="AJ64" s="94">
        <v>0.25</v>
      </c>
    </row>
    <row r="65" spans="25:36" x14ac:dyDescent="0.25">
      <c r="Y65" s="89" t="s">
        <v>391</v>
      </c>
      <c r="Z65" s="86" t="s">
        <v>285</v>
      </c>
      <c r="AA65" s="86" t="s">
        <v>338</v>
      </c>
      <c r="AB65" s="87">
        <f t="shared" si="41"/>
        <v>1240</v>
      </c>
      <c r="AC65" s="87">
        <f>F24</f>
        <v>2480</v>
      </c>
      <c r="AD65" s="86">
        <v>1</v>
      </c>
      <c r="AE65" s="86">
        <v>0.5</v>
      </c>
      <c r="AF65" s="94">
        <v>0.11</v>
      </c>
      <c r="AG65" s="86">
        <f t="shared" si="43"/>
        <v>0.187</v>
      </c>
      <c r="AH65" s="91">
        <v>22.02</v>
      </c>
      <c r="AI65" s="94">
        <v>0.437</v>
      </c>
      <c r="AJ65" s="94">
        <v>0.25</v>
      </c>
    </row>
    <row r="66" spans="25:36" x14ac:dyDescent="0.25">
      <c r="Y66" s="89" t="s">
        <v>388</v>
      </c>
      <c r="Z66" s="86" t="s">
        <v>282</v>
      </c>
      <c r="AA66" s="86" t="s">
        <v>338</v>
      </c>
      <c r="AB66" s="87">
        <f t="shared" si="41"/>
        <v>547.5</v>
      </c>
      <c r="AC66" s="87">
        <f>F21</f>
        <v>1095</v>
      </c>
      <c r="AD66" s="86">
        <v>1</v>
      </c>
      <c r="AE66" s="86">
        <v>8</v>
      </c>
      <c r="AF66" s="94">
        <v>13.44</v>
      </c>
      <c r="AG66" s="86">
        <f t="shared" si="43"/>
        <v>9.2000000000000026E-2</v>
      </c>
      <c r="AH66" s="91">
        <v>43.75</v>
      </c>
      <c r="AI66" s="94">
        <v>0.34200000000000003</v>
      </c>
      <c r="AJ66" s="94">
        <v>0.25</v>
      </c>
    </row>
    <row r="67" spans="25:36" x14ac:dyDescent="0.25">
      <c r="Y67" s="89" t="s">
        <v>389</v>
      </c>
      <c r="Z67" s="86" t="s">
        <v>283</v>
      </c>
      <c r="AA67" s="86" t="s">
        <v>338</v>
      </c>
      <c r="AB67" s="87">
        <f t="shared" si="41"/>
        <v>747.5</v>
      </c>
      <c r="AC67" s="87">
        <f t="shared" ref="AC67:AC69" si="44">F22</f>
        <v>1495</v>
      </c>
      <c r="AD67" s="86">
        <v>1</v>
      </c>
      <c r="AE67" s="86">
        <v>8</v>
      </c>
      <c r="AF67" s="94">
        <v>13.44</v>
      </c>
      <c r="AG67" s="86">
        <f t="shared" si="43"/>
        <v>0.16099999999999998</v>
      </c>
      <c r="AH67" s="91">
        <v>51.5</v>
      </c>
      <c r="AI67" s="94">
        <v>0.41099999999999998</v>
      </c>
      <c r="AJ67" s="94">
        <v>0.25</v>
      </c>
    </row>
    <row r="68" spans="25:36" x14ac:dyDescent="0.25">
      <c r="Y68" s="89" t="s">
        <v>390</v>
      </c>
      <c r="Z68" s="86" t="s">
        <v>284</v>
      </c>
      <c r="AA68" s="86" t="s">
        <v>338</v>
      </c>
      <c r="AB68" s="87">
        <f t="shared" si="41"/>
        <v>1017.5</v>
      </c>
      <c r="AC68" s="87">
        <f t="shared" si="44"/>
        <v>2035</v>
      </c>
      <c r="AD68" s="86">
        <v>1</v>
      </c>
      <c r="AE68" s="86">
        <v>8</v>
      </c>
      <c r="AF68" s="94">
        <v>14.12</v>
      </c>
      <c r="AG68" s="86">
        <f t="shared" si="43"/>
        <v>0.249</v>
      </c>
      <c r="AH68" s="91">
        <v>66.59</v>
      </c>
      <c r="AI68" s="94">
        <v>0.499</v>
      </c>
      <c r="AJ68" s="94">
        <v>0.25</v>
      </c>
    </row>
    <row r="69" spans="25:36" x14ac:dyDescent="0.25">
      <c r="Y69" s="89" t="s">
        <v>391</v>
      </c>
      <c r="Z69" s="86" t="s">
        <v>285</v>
      </c>
      <c r="AA69" s="86" t="s">
        <v>338</v>
      </c>
      <c r="AB69" s="87">
        <f t="shared" si="41"/>
        <v>1240</v>
      </c>
      <c r="AC69" s="87">
        <f t="shared" si="44"/>
        <v>2480</v>
      </c>
      <c r="AD69" s="86">
        <v>1</v>
      </c>
      <c r="AE69" s="86">
        <v>6</v>
      </c>
      <c r="AF69" s="94">
        <v>9.18</v>
      </c>
      <c r="AG69" s="86">
        <f t="shared" si="43"/>
        <v>0.187</v>
      </c>
      <c r="AH69" s="91">
        <v>75.02</v>
      </c>
      <c r="AI69" s="94">
        <v>0.437</v>
      </c>
      <c r="AJ69" s="94">
        <v>0.25</v>
      </c>
    </row>
    <row r="70" spans="25:36" x14ac:dyDescent="0.25">
      <c r="Y70" s="89" t="s">
        <v>392</v>
      </c>
      <c r="Z70" s="86" t="s">
        <v>282</v>
      </c>
      <c r="AA70" s="86" t="s">
        <v>338</v>
      </c>
      <c r="AB70" s="87">
        <f t="shared" si="41"/>
        <v>410.625</v>
      </c>
      <c r="AC70" s="87">
        <f>E28</f>
        <v>821.25</v>
      </c>
      <c r="AD70" s="86">
        <v>2</v>
      </c>
      <c r="AE70" s="86">
        <v>1</v>
      </c>
      <c r="AF70" s="94">
        <v>0.37</v>
      </c>
      <c r="AG70" s="86">
        <f t="shared" si="43"/>
        <v>0.10999999999999999</v>
      </c>
      <c r="AH70" s="91">
        <v>35.82</v>
      </c>
      <c r="AI70" s="94">
        <v>0.36</v>
      </c>
      <c r="AJ70" s="94">
        <v>0.25</v>
      </c>
    </row>
    <row r="71" spans="25:36" x14ac:dyDescent="0.25">
      <c r="Y71" s="89" t="s">
        <v>393</v>
      </c>
      <c r="Z71" s="86" t="s">
        <v>283</v>
      </c>
      <c r="AA71" s="86" t="s">
        <v>338</v>
      </c>
      <c r="AB71" s="87">
        <f t="shared" si="41"/>
        <v>504.375</v>
      </c>
      <c r="AC71" s="87">
        <f t="shared" ref="AC71:AC73" si="45">E29</f>
        <v>1008.75</v>
      </c>
      <c r="AD71" s="86">
        <v>2</v>
      </c>
      <c r="AE71" s="86">
        <v>1</v>
      </c>
      <c r="AF71" s="94">
        <v>0.37</v>
      </c>
      <c r="AG71" s="86">
        <f t="shared" si="43"/>
        <v>0.15400000000000003</v>
      </c>
      <c r="AH71" s="91">
        <v>37.69</v>
      </c>
      <c r="AI71" s="94">
        <v>0.40400000000000003</v>
      </c>
      <c r="AJ71" s="94">
        <v>0.25</v>
      </c>
    </row>
    <row r="72" spans="25:36" x14ac:dyDescent="0.25">
      <c r="Y72" s="89" t="s">
        <v>394</v>
      </c>
      <c r="Z72" s="86" t="s">
        <v>284</v>
      </c>
      <c r="AA72" s="86" t="s">
        <v>338</v>
      </c>
      <c r="AB72" s="87">
        <f t="shared" si="41"/>
        <v>549.375</v>
      </c>
      <c r="AC72" s="87">
        <f t="shared" si="45"/>
        <v>1098.75</v>
      </c>
      <c r="AD72" s="86">
        <v>2</v>
      </c>
      <c r="AE72" s="86">
        <v>1.5</v>
      </c>
      <c r="AF72" s="94">
        <v>0.76</v>
      </c>
      <c r="AG72" s="86">
        <f t="shared" si="43"/>
        <v>0.15600000000000003</v>
      </c>
      <c r="AH72" s="91">
        <v>52.53</v>
      </c>
      <c r="AI72" s="94">
        <v>0.40600000000000003</v>
      </c>
      <c r="AJ72" s="94">
        <v>0.25</v>
      </c>
    </row>
    <row r="73" spans="25:36" x14ac:dyDescent="0.25">
      <c r="Y73" s="89" t="s">
        <v>395</v>
      </c>
      <c r="Z73" s="86" t="s">
        <v>285</v>
      </c>
      <c r="AA73" s="86" t="s">
        <v>338</v>
      </c>
      <c r="AB73" s="87">
        <f t="shared" si="41"/>
        <v>783.75</v>
      </c>
      <c r="AC73" s="87">
        <f t="shared" si="45"/>
        <v>1567.5</v>
      </c>
      <c r="AD73" s="86">
        <v>2</v>
      </c>
      <c r="AE73" s="86">
        <v>1.5</v>
      </c>
      <c r="AF73" s="94">
        <v>1.46</v>
      </c>
      <c r="AG73" s="86">
        <f t="shared" si="43"/>
        <v>0.15600000000000003</v>
      </c>
      <c r="AH73" s="91">
        <v>62.21</v>
      </c>
      <c r="AI73" s="94">
        <v>0.40600000000000003</v>
      </c>
      <c r="AJ73" s="94">
        <v>0.25</v>
      </c>
    </row>
    <row r="74" spans="25:36" x14ac:dyDescent="0.25">
      <c r="Y74" s="89" t="s">
        <v>392</v>
      </c>
      <c r="Z74" s="86" t="s">
        <v>282</v>
      </c>
      <c r="AA74" s="86" t="s">
        <v>338</v>
      </c>
      <c r="AB74" s="87">
        <f t="shared" si="41"/>
        <v>410.625</v>
      </c>
      <c r="AC74" s="87">
        <f>E28</f>
        <v>821.25</v>
      </c>
      <c r="AD74" s="86">
        <v>2</v>
      </c>
      <c r="AE74" s="86">
        <v>8</v>
      </c>
      <c r="AF74" s="94">
        <v>17.62</v>
      </c>
      <c r="AG74" s="86">
        <f t="shared" si="43"/>
        <v>0.10999999999999999</v>
      </c>
      <c r="AH74" s="91">
        <v>62.53</v>
      </c>
      <c r="AI74" s="94">
        <v>0.36</v>
      </c>
      <c r="AJ74" s="94">
        <v>0.25</v>
      </c>
    </row>
    <row r="75" spans="25:36" x14ac:dyDescent="0.25">
      <c r="Y75" s="89" t="s">
        <v>393</v>
      </c>
      <c r="Z75" s="86" t="s">
        <v>283</v>
      </c>
      <c r="AA75" s="86" t="s">
        <v>338</v>
      </c>
      <c r="AB75" s="87">
        <f t="shared" si="41"/>
        <v>504.375</v>
      </c>
      <c r="AC75" s="87">
        <f>E29</f>
        <v>1008.75</v>
      </c>
      <c r="AD75" s="86">
        <v>2</v>
      </c>
      <c r="AE75" s="86">
        <v>8</v>
      </c>
      <c r="AF75" s="94">
        <v>17.63</v>
      </c>
      <c r="AG75" s="86">
        <f t="shared" si="43"/>
        <v>0.15400000000000003</v>
      </c>
      <c r="AH75" s="91">
        <v>70.680000000000007</v>
      </c>
      <c r="AI75" s="94">
        <v>0.40400000000000003</v>
      </c>
      <c r="AJ75" s="94">
        <v>0.25</v>
      </c>
    </row>
    <row r="76" spans="25:36" x14ac:dyDescent="0.25">
      <c r="Y76" s="89" t="s">
        <v>394</v>
      </c>
      <c r="Z76" s="86" t="s">
        <v>284</v>
      </c>
      <c r="AA76" s="86" t="s">
        <v>338</v>
      </c>
      <c r="AB76" s="87">
        <f t="shared" si="41"/>
        <v>549.375</v>
      </c>
      <c r="AC76" s="87">
        <f>E30</f>
        <v>1098.75</v>
      </c>
      <c r="AD76" s="86">
        <v>2</v>
      </c>
      <c r="AE76" s="86">
        <v>8</v>
      </c>
      <c r="AF76" s="94">
        <v>17.37</v>
      </c>
      <c r="AG76" s="86">
        <f t="shared" si="43"/>
        <v>0.15600000000000003</v>
      </c>
      <c r="AH76" s="91">
        <v>80.67</v>
      </c>
      <c r="AI76" s="94">
        <v>0.40600000000000003</v>
      </c>
      <c r="AJ76" s="94">
        <v>0.25</v>
      </c>
    </row>
    <row r="77" spans="25:36" x14ac:dyDescent="0.25">
      <c r="Y77" s="89" t="s">
        <v>395</v>
      </c>
      <c r="Z77" s="86" t="s">
        <v>285</v>
      </c>
      <c r="AA77" s="86" t="s">
        <v>338</v>
      </c>
      <c r="AB77" s="87">
        <f t="shared" si="41"/>
        <v>783.75</v>
      </c>
      <c r="AC77" s="87">
        <f>E31</f>
        <v>1567.5</v>
      </c>
      <c r="AD77" s="86">
        <v>2</v>
      </c>
      <c r="AE77" s="86">
        <v>6</v>
      </c>
      <c r="AF77" s="94">
        <v>16.72</v>
      </c>
      <c r="AG77" s="86">
        <f t="shared" si="43"/>
        <v>0.15600000000000003</v>
      </c>
      <c r="AH77" s="91">
        <v>99.54</v>
      </c>
      <c r="AI77" s="94">
        <v>0.40600000000000003</v>
      </c>
      <c r="AJ77" s="94">
        <v>0.25</v>
      </c>
    </row>
    <row r="78" spans="25:36" x14ac:dyDescent="0.25">
      <c r="Y78" s="89" t="s">
        <v>392</v>
      </c>
      <c r="Z78" s="86" t="s">
        <v>282</v>
      </c>
      <c r="AA78" s="86" t="s">
        <v>338</v>
      </c>
      <c r="AB78" s="87">
        <f t="shared" si="41"/>
        <v>547.5</v>
      </c>
      <c r="AC78" s="87">
        <f>F28</f>
        <v>1095</v>
      </c>
      <c r="AD78" s="86">
        <v>2</v>
      </c>
      <c r="AE78" s="86">
        <v>1</v>
      </c>
      <c r="AF78" s="94">
        <v>0.37</v>
      </c>
      <c r="AG78" s="86">
        <f t="shared" si="43"/>
        <v>0.17599999999999999</v>
      </c>
      <c r="AH78" s="91">
        <v>38.369999999999997</v>
      </c>
      <c r="AI78" s="94">
        <v>0.42599999999999999</v>
      </c>
      <c r="AJ78" s="94">
        <v>0.25</v>
      </c>
    </row>
    <row r="79" spans="25:36" x14ac:dyDescent="0.25">
      <c r="Y79" s="89" t="s">
        <v>393</v>
      </c>
      <c r="Z79" s="86" t="s">
        <v>283</v>
      </c>
      <c r="AA79" s="86" t="s">
        <v>338</v>
      </c>
      <c r="AB79" s="87">
        <f t="shared" si="41"/>
        <v>672.5</v>
      </c>
      <c r="AC79" s="87">
        <f>F29</f>
        <v>1345</v>
      </c>
      <c r="AD79" s="86">
        <v>2</v>
      </c>
      <c r="AE79" s="86">
        <v>1</v>
      </c>
      <c r="AF79" s="94">
        <v>0.37</v>
      </c>
      <c r="AG79" s="86">
        <f t="shared" si="43"/>
        <v>0.249</v>
      </c>
      <c r="AH79" s="91">
        <v>39.93</v>
      </c>
      <c r="AI79" s="94">
        <v>0.499</v>
      </c>
      <c r="AJ79" s="94">
        <v>0.25</v>
      </c>
    </row>
    <row r="80" spans="25:36" x14ac:dyDescent="0.25">
      <c r="Y80" s="89" t="s">
        <v>394</v>
      </c>
      <c r="Z80" s="86" t="s">
        <v>284</v>
      </c>
      <c r="AA80" s="86" t="s">
        <v>338</v>
      </c>
      <c r="AB80" s="87">
        <f t="shared" si="41"/>
        <v>732.5</v>
      </c>
      <c r="AC80" s="87">
        <f>F30</f>
        <v>1465</v>
      </c>
      <c r="AD80" s="86">
        <v>2</v>
      </c>
      <c r="AE80" s="86">
        <v>1.5</v>
      </c>
      <c r="AF80" s="94">
        <v>0.77</v>
      </c>
      <c r="AG80" s="86">
        <f t="shared" si="43"/>
        <v>0.252</v>
      </c>
      <c r="AH80" s="91">
        <v>56.9</v>
      </c>
      <c r="AI80" s="94">
        <v>0.502</v>
      </c>
      <c r="AJ80" s="94">
        <v>0.25</v>
      </c>
    </row>
    <row r="81" spans="25:36" x14ac:dyDescent="0.25">
      <c r="Y81" s="89" t="s">
        <v>395</v>
      </c>
      <c r="Z81" s="86" t="s">
        <v>285</v>
      </c>
      <c r="AA81" s="86" t="s">
        <v>338</v>
      </c>
      <c r="AB81" s="87">
        <f t="shared" si="41"/>
        <v>1045</v>
      </c>
      <c r="AC81" s="87">
        <f>F31</f>
        <v>2090</v>
      </c>
      <c r="AD81" s="86">
        <v>2</v>
      </c>
      <c r="AE81" s="86">
        <v>1.5</v>
      </c>
      <c r="AF81" s="94">
        <v>1.47</v>
      </c>
      <c r="AG81" s="86">
        <f t="shared" si="43"/>
        <v>0.251</v>
      </c>
      <c r="AH81" s="91">
        <v>66.150000000000006</v>
      </c>
      <c r="AI81" s="94">
        <v>0.501</v>
      </c>
      <c r="AJ81" s="94">
        <v>0.25</v>
      </c>
    </row>
    <row r="82" spans="25:36" x14ac:dyDescent="0.25">
      <c r="Y82" s="89" t="s">
        <v>392</v>
      </c>
      <c r="Z82" s="86" t="s">
        <v>282</v>
      </c>
      <c r="AA82" s="86" t="s">
        <v>338</v>
      </c>
      <c r="AB82" s="87">
        <f t="shared" si="41"/>
        <v>547.5</v>
      </c>
      <c r="AC82" s="87">
        <f>F28</f>
        <v>1095</v>
      </c>
      <c r="AD82" s="86">
        <v>2</v>
      </c>
      <c r="AE82" s="86">
        <v>8</v>
      </c>
      <c r="AF82" s="94">
        <v>17.63</v>
      </c>
      <c r="AG82" s="86">
        <f t="shared" si="43"/>
        <v>0.17599999999999999</v>
      </c>
      <c r="AH82" s="91">
        <v>74.03</v>
      </c>
      <c r="AI82" s="94">
        <v>0.42599999999999999</v>
      </c>
      <c r="AJ82" s="94">
        <v>0.25</v>
      </c>
    </row>
    <row r="83" spans="25:36" x14ac:dyDescent="0.25">
      <c r="Y83" s="89" t="s">
        <v>393</v>
      </c>
      <c r="Z83" s="86" t="s">
        <v>283</v>
      </c>
      <c r="AA83" s="86" t="s">
        <v>338</v>
      </c>
      <c r="AB83" s="87">
        <f t="shared" si="41"/>
        <v>672.5</v>
      </c>
      <c r="AC83" s="87">
        <f t="shared" ref="AC83:AC85" si="46">F29</f>
        <v>1345</v>
      </c>
      <c r="AD83" s="86">
        <v>2</v>
      </c>
      <c r="AE83" s="86">
        <v>8</v>
      </c>
      <c r="AF83" s="94">
        <v>17.64</v>
      </c>
      <c r="AG83" s="86">
        <f t="shared" si="43"/>
        <v>0.249</v>
      </c>
      <c r="AH83" s="91">
        <v>82.6</v>
      </c>
      <c r="AI83" s="94">
        <v>0.499</v>
      </c>
      <c r="AJ83" s="94">
        <v>0.25</v>
      </c>
    </row>
    <row r="84" spans="25:36" x14ac:dyDescent="0.25">
      <c r="Y84" s="89" t="s">
        <v>394</v>
      </c>
      <c r="Z84" s="86" t="s">
        <v>284</v>
      </c>
      <c r="AA84" s="86" t="s">
        <v>338</v>
      </c>
      <c r="AB84" s="87">
        <f t="shared" si="41"/>
        <v>732.5</v>
      </c>
      <c r="AC84" s="87">
        <f t="shared" si="46"/>
        <v>1465</v>
      </c>
      <c r="AD84" s="86">
        <v>2</v>
      </c>
      <c r="AE84" s="86">
        <v>8</v>
      </c>
      <c r="AF84" s="94">
        <v>17.38</v>
      </c>
      <c r="AG84" s="86">
        <f t="shared" si="43"/>
        <v>0.252</v>
      </c>
      <c r="AH84" s="91">
        <v>94.78</v>
      </c>
      <c r="AI84" s="94">
        <v>0.502</v>
      </c>
      <c r="AJ84" s="94">
        <v>0.25</v>
      </c>
    </row>
    <row r="85" spans="25:36" x14ac:dyDescent="0.25">
      <c r="Y85" s="89" t="s">
        <v>395</v>
      </c>
      <c r="Z85" s="86" t="s">
        <v>285</v>
      </c>
      <c r="AA85" s="86" t="s">
        <v>338</v>
      </c>
      <c r="AB85" s="87">
        <f t="shared" si="41"/>
        <v>1045</v>
      </c>
      <c r="AC85" s="87">
        <f t="shared" si="46"/>
        <v>2090</v>
      </c>
      <c r="AD85" s="86">
        <v>2</v>
      </c>
      <c r="AE85" s="86">
        <v>6</v>
      </c>
      <c r="AF85" s="94">
        <v>16.77</v>
      </c>
      <c r="AG85" s="86">
        <f t="shared" si="43"/>
        <v>0.251</v>
      </c>
      <c r="AH85" s="91">
        <v>114.03</v>
      </c>
      <c r="AI85" s="94">
        <v>0.501</v>
      </c>
      <c r="AJ85" s="94">
        <v>0.25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24E4B-7BDF-4EEC-BDD6-F80144DCDB29}">
  <dimension ref="B1:AG41"/>
  <sheetViews>
    <sheetView topLeftCell="U1" workbookViewId="0">
      <selection activeCell="O2" sqref="O2"/>
    </sheetView>
  </sheetViews>
  <sheetFormatPr defaultRowHeight="15" x14ac:dyDescent="0.25"/>
  <cols>
    <col min="2" max="2" width="8.140625" bestFit="1" customWidth="1"/>
    <col min="3" max="3" width="11.140625" bestFit="1" customWidth="1"/>
    <col min="4" max="4" width="12.5703125" style="78" bestFit="1" customWidth="1"/>
    <col min="5" max="5" width="11.140625" style="78" customWidth="1"/>
    <col min="6" max="6" width="13.140625" style="104" bestFit="1" customWidth="1"/>
    <col min="7" max="7" width="12.85546875" bestFit="1" customWidth="1"/>
    <col min="8" max="8" width="12.7109375" style="104" bestFit="1" customWidth="1"/>
    <col min="9" max="9" width="11.85546875" bestFit="1" customWidth="1"/>
    <col min="10" max="10" width="12.5703125" bestFit="1" customWidth="1"/>
    <col min="11" max="12" width="12.5703125" style="78" customWidth="1"/>
    <col min="13" max="13" width="15.28515625" bestFit="1" customWidth="1"/>
    <col min="14" max="14" width="16" style="78" bestFit="1" customWidth="1"/>
    <col min="15" max="15" width="15.5703125" style="78" bestFit="1" customWidth="1"/>
    <col min="16" max="16" width="16.28515625" style="78" bestFit="1" customWidth="1"/>
    <col min="19" max="19" width="9.140625" style="78"/>
    <col min="20" max="20" width="8.140625" bestFit="1" customWidth="1"/>
    <col min="21" max="21" width="11.140625" bestFit="1" customWidth="1"/>
    <col min="22" max="22" width="12.5703125" style="78" bestFit="1" customWidth="1"/>
    <col min="23" max="23" width="19.7109375" style="78" bestFit="1" customWidth="1"/>
    <col min="24" max="24" width="17" bestFit="1" customWidth="1"/>
    <col min="25" max="25" width="12.85546875" bestFit="1" customWidth="1"/>
    <col min="26" max="26" width="12.7109375" bestFit="1" customWidth="1"/>
    <col min="27" max="27" width="15.28515625" bestFit="1" customWidth="1"/>
    <col min="28" max="28" width="20" style="78" bestFit="1" customWidth="1"/>
    <col min="29" max="29" width="16.28515625" bestFit="1" customWidth="1"/>
    <col min="30" max="30" width="15.28515625" bestFit="1" customWidth="1"/>
    <col min="31" max="31" width="20" bestFit="1" customWidth="1"/>
    <col min="32" max="32" width="16.28515625" bestFit="1" customWidth="1"/>
  </cols>
  <sheetData>
    <row r="1" spans="2:33" x14ac:dyDescent="0.25">
      <c r="B1" s="88" t="s">
        <v>265</v>
      </c>
      <c r="F1" s="115">
        <v>0.3</v>
      </c>
      <c r="G1" t="s">
        <v>404</v>
      </c>
      <c r="I1" s="141" t="s">
        <v>450</v>
      </c>
      <c r="J1" s="141"/>
      <c r="K1" s="141"/>
      <c r="L1" s="141"/>
      <c r="M1" s="141" t="s">
        <v>451</v>
      </c>
      <c r="N1" s="141"/>
      <c r="O1" s="141"/>
      <c r="P1" s="141"/>
      <c r="R1" s="88"/>
      <c r="S1" s="88"/>
      <c r="T1" s="88" t="s">
        <v>301</v>
      </c>
      <c r="U1" s="78"/>
      <c r="X1" s="2">
        <v>0.3</v>
      </c>
      <c r="Y1" s="78" t="s">
        <v>404</v>
      </c>
      <c r="Z1" s="78"/>
      <c r="AA1" s="141" t="s">
        <v>450</v>
      </c>
      <c r="AB1" s="141"/>
      <c r="AC1" s="141"/>
      <c r="AD1" s="141" t="s">
        <v>451</v>
      </c>
      <c r="AE1" s="141"/>
      <c r="AF1" s="141"/>
    </row>
    <row r="2" spans="2:33" x14ac:dyDescent="0.25">
      <c r="B2" s="86" t="s">
        <v>354</v>
      </c>
      <c r="C2" s="86" t="s">
        <v>336</v>
      </c>
      <c r="D2" s="86" t="s">
        <v>406</v>
      </c>
      <c r="E2" s="86" t="s">
        <v>408</v>
      </c>
      <c r="F2" s="90" t="s">
        <v>407</v>
      </c>
      <c r="G2" s="86" t="s">
        <v>402</v>
      </c>
      <c r="H2" s="90" t="s">
        <v>405</v>
      </c>
      <c r="I2" s="86" t="s">
        <v>452</v>
      </c>
      <c r="J2" s="86" t="s">
        <v>453</v>
      </c>
      <c r="K2" s="86" t="s">
        <v>454</v>
      </c>
      <c r="L2" s="86" t="s">
        <v>455</v>
      </c>
      <c r="M2" s="86" t="s">
        <v>452</v>
      </c>
      <c r="N2" s="86" t="s">
        <v>453</v>
      </c>
      <c r="O2" s="86" t="s">
        <v>454</v>
      </c>
      <c r="P2" s="86" t="s">
        <v>455</v>
      </c>
      <c r="T2" s="86" t="s">
        <v>354</v>
      </c>
      <c r="U2" s="86" t="s">
        <v>336</v>
      </c>
      <c r="V2" s="86" t="s">
        <v>406</v>
      </c>
      <c r="W2" s="86" t="s">
        <v>408</v>
      </c>
      <c r="X2" s="86" t="s">
        <v>407</v>
      </c>
      <c r="Y2" s="86" t="s">
        <v>402</v>
      </c>
      <c r="Z2" s="86" t="s">
        <v>405</v>
      </c>
      <c r="AA2" s="86" t="s">
        <v>454</v>
      </c>
      <c r="AB2" s="86" t="s">
        <v>456</v>
      </c>
      <c r="AC2" s="86" t="s">
        <v>455</v>
      </c>
      <c r="AD2" s="86" t="s">
        <v>454</v>
      </c>
      <c r="AE2" s="86" t="s">
        <v>456</v>
      </c>
      <c r="AF2" s="86" t="s">
        <v>455</v>
      </c>
    </row>
    <row r="3" spans="2:33" x14ac:dyDescent="0.25">
      <c r="B3" s="82" t="s">
        <v>281</v>
      </c>
      <c r="C3" s="82" t="s">
        <v>337</v>
      </c>
      <c r="D3" s="82" t="s">
        <v>416</v>
      </c>
      <c r="E3" s="95">
        <f>F3+G3</f>
        <v>162</v>
      </c>
      <c r="F3" s="113">
        <v>40</v>
      </c>
      <c r="G3" s="105">
        <v>122</v>
      </c>
      <c r="H3" s="110" t="s">
        <v>46</v>
      </c>
      <c r="I3" s="108">
        <v>15</v>
      </c>
      <c r="J3" s="108">
        <v>15</v>
      </c>
      <c r="K3" s="108">
        <v>26</v>
      </c>
      <c r="L3" s="108">
        <v>15</v>
      </c>
      <c r="M3" s="108">
        <v>15</v>
      </c>
      <c r="N3" s="108">
        <v>15</v>
      </c>
      <c r="O3" s="108">
        <v>22</v>
      </c>
      <c r="P3" s="108">
        <v>15</v>
      </c>
      <c r="Q3" s="118">
        <f>F3/G3</f>
        <v>0.32786885245901637</v>
      </c>
      <c r="R3" s="78">
        <f t="shared" ref="R3:R32" si="0">$F$1*G3</f>
        <v>36.6</v>
      </c>
      <c r="S3" s="117">
        <f>R3-F3</f>
        <v>-3.3999999999999986</v>
      </c>
      <c r="T3" s="82" t="s">
        <v>281</v>
      </c>
      <c r="U3" s="82" t="s">
        <v>337</v>
      </c>
      <c r="V3" s="82" t="s">
        <v>423</v>
      </c>
      <c r="W3" s="82">
        <v>190</v>
      </c>
      <c r="X3" s="107">
        <f>$F$1*Y3</f>
        <v>57</v>
      </c>
      <c r="Y3" s="103">
        <v>190</v>
      </c>
      <c r="Z3" s="108" t="s">
        <v>46</v>
      </c>
      <c r="AA3" s="108">
        <v>21</v>
      </c>
      <c r="AB3" s="108">
        <v>24</v>
      </c>
      <c r="AC3" s="108">
        <v>16</v>
      </c>
      <c r="AD3" s="108">
        <v>17</v>
      </c>
      <c r="AE3" s="108">
        <v>20</v>
      </c>
      <c r="AF3" s="108">
        <v>16</v>
      </c>
      <c r="AG3" s="112"/>
    </row>
    <row r="4" spans="2:33" x14ac:dyDescent="0.25">
      <c r="B4" s="82" t="s">
        <v>282</v>
      </c>
      <c r="C4" s="82" t="s">
        <v>337</v>
      </c>
      <c r="D4" s="82" t="s">
        <v>417</v>
      </c>
      <c r="E4" s="95">
        <f t="shared" ref="E4:E32" si="1">F4+G4</f>
        <v>327.60000000000002</v>
      </c>
      <c r="F4" s="106">
        <f>$F$1*G4</f>
        <v>75.599999999999994</v>
      </c>
      <c r="G4" s="105">
        <v>252</v>
      </c>
      <c r="H4" s="110" t="s">
        <v>46</v>
      </c>
      <c r="I4" s="108">
        <v>16</v>
      </c>
      <c r="J4" s="108">
        <v>15</v>
      </c>
      <c r="K4" s="108">
        <v>27</v>
      </c>
      <c r="L4" s="108">
        <v>15</v>
      </c>
      <c r="M4" s="108">
        <v>16</v>
      </c>
      <c r="N4" s="108">
        <v>15</v>
      </c>
      <c r="O4" s="108">
        <v>22</v>
      </c>
      <c r="P4" s="108">
        <v>15</v>
      </c>
      <c r="Q4" s="118">
        <f t="shared" ref="Q4:Q32" si="2">F4/G4</f>
        <v>0.3</v>
      </c>
      <c r="R4" s="78">
        <f t="shared" si="0"/>
        <v>75.599999999999994</v>
      </c>
      <c r="S4" s="85">
        <f t="shared" ref="S4:S32" si="3">R4-F4</f>
        <v>0</v>
      </c>
      <c r="T4" s="82" t="s">
        <v>282</v>
      </c>
      <c r="U4" s="82" t="s">
        <v>337</v>
      </c>
      <c r="V4" s="82" t="s">
        <v>417</v>
      </c>
      <c r="W4" s="82">
        <v>254</v>
      </c>
      <c r="X4" s="107">
        <f t="shared" ref="X4:X32" si="4">$F$1*Y4</f>
        <v>76.2</v>
      </c>
      <c r="Y4" s="103">
        <v>254</v>
      </c>
      <c r="Z4" s="108" t="s">
        <v>46</v>
      </c>
      <c r="AA4" s="108">
        <v>21</v>
      </c>
      <c r="AB4" s="108">
        <v>25</v>
      </c>
      <c r="AC4" s="108">
        <v>15</v>
      </c>
      <c r="AD4" s="108">
        <v>11</v>
      </c>
      <c r="AE4" s="108">
        <v>20</v>
      </c>
      <c r="AF4" s="108">
        <v>15</v>
      </c>
      <c r="AG4" s="112"/>
    </row>
    <row r="5" spans="2:33" x14ac:dyDescent="0.25">
      <c r="B5" s="82" t="s">
        <v>283</v>
      </c>
      <c r="C5" s="82" t="s">
        <v>337</v>
      </c>
      <c r="D5" s="82" t="s">
        <v>418</v>
      </c>
      <c r="E5" s="95">
        <f t="shared" si="1"/>
        <v>405</v>
      </c>
      <c r="F5" s="113">
        <v>105</v>
      </c>
      <c r="G5" s="105">
        <v>300</v>
      </c>
      <c r="H5" s="110" t="s">
        <v>46</v>
      </c>
      <c r="I5" s="108">
        <v>20</v>
      </c>
      <c r="J5" s="108">
        <v>15</v>
      </c>
      <c r="K5" s="108">
        <v>28</v>
      </c>
      <c r="L5" s="108">
        <v>15</v>
      </c>
      <c r="M5" s="108">
        <v>20</v>
      </c>
      <c r="N5" s="108">
        <v>15</v>
      </c>
      <c r="O5" s="108">
        <v>22</v>
      </c>
      <c r="P5" s="108">
        <v>15</v>
      </c>
      <c r="Q5" s="118">
        <f t="shared" si="2"/>
        <v>0.35</v>
      </c>
      <c r="R5" s="78">
        <f t="shared" si="0"/>
        <v>90</v>
      </c>
      <c r="S5" s="117">
        <f t="shared" si="3"/>
        <v>-15</v>
      </c>
      <c r="T5" s="82" t="s">
        <v>283</v>
      </c>
      <c r="U5" s="82" t="s">
        <v>337</v>
      </c>
      <c r="V5" s="82" t="s">
        <v>417</v>
      </c>
      <c r="W5" s="82">
        <v>330</v>
      </c>
      <c r="X5" s="107">
        <f t="shared" si="4"/>
        <v>99</v>
      </c>
      <c r="Y5" s="103">
        <v>330</v>
      </c>
      <c r="Z5" s="108" t="s">
        <v>46</v>
      </c>
      <c r="AA5" s="108">
        <v>22</v>
      </c>
      <c r="AB5" s="108">
        <v>26</v>
      </c>
      <c r="AC5" s="108">
        <v>15</v>
      </c>
      <c r="AD5" s="108">
        <v>16</v>
      </c>
      <c r="AE5" s="108">
        <v>24</v>
      </c>
      <c r="AF5" s="108">
        <v>15</v>
      </c>
      <c r="AG5" s="112"/>
    </row>
    <row r="6" spans="2:33" x14ac:dyDescent="0.25">
      <c r="B6" s="82" t="s">
        <v>284</v>
      </c>
      <c r="C6" s="82" t="s">
        <v>337</v>
      </c>
      <c r="D6" s="82" t="s">
        <v>419</v>
      </c>
      <c r="E6" s="95">
        <f t="shared" si="1"/>
        <v>515</v>
      </c>
      <c r="F6" s="113">
        <v>165</v>
      </c>
      <c r="G6" s="105">
        <v>350</v>
      </c>
      <c r="H6" s="110" t="s">
        <v>46</v>
      </c>
      <c r="I6" s="108">
        <v>22</v>
      </c>
      <c r="J6" s="108">
        <v>15</v>
      </c>
      <c r="K6" s="108">
        <v>28</v>
      </c>
      <c r="L6" s="108">
        <v>15</v>
      </c>
      <c r="M6" s="108">
        <v>22</v>
      </c>
      <c r="N6" s="108">
        <v>15</v>
      </c>
      <c r="O6" s="108">
        <v>25</v>
      </c>
      <c r="P6" s="108">
        <v>15</v>
      </c>
      <c r="Q6" s="118">
        <f t="shared" si="2"/>
        <v>0.47142857142857142</v>
      </c>
      <c r="R6" s="78">
        <f t="shared" si="0"/>
        <v>105</v>
      </c>
      <c r="S6" s="117">
        <f t="shared" si="3"/>
        <v>-60</v>
      </c>
      <c r="T6" s="82" t="s">
        <v>284</v>
      </c>
      <c r="U6" s="82" t="s">
        <v>337</v>
      </c>
      <c r="V6" s="82" t="s">
        <v>419</v>
      </c>
      <c r="W6" s="82">
        <v>405</v>
      </c>
      <c r="X6" s="113">
        <v>165</v>
      </c>
      <c r="Y6" s="103">
        <v>405</v>
      </c>
      <c r="Z6" s="108" t="s">
        <v>46</v>
      </c>
      <c r="AA6" s="108">
        <v>25</v>
      </c>
      <c r="AB6" s="108">
        <v>25</v>
      </c>
      <c r="AC6" s="108">
        <v>15</v>
      </c>
      <c r="AD6" s="108">
        <v>13</v>
      </c>
      <c r="AE6" s="108">
        <v>19</v>
      </c>
      <c r="AF6" s="108">
        <v>15</v>
      </c>
      <c r="AG6" s="112"/>
    </row>
    <row r="7" spans="2:33" x14ac:dyDescent="0.25">
      <c r="B7" s="82" t="s">
        <v>285</v>
      </c>
      <c r="C7" s="82" t="s">
        <v>337</v>
      </c>
      <c r="D7" s="82" t="s">
        <v>419</v>
      </c>
      <c r="E7" s="95">
        <f t="shared" si="1"/>
        <v>1144</v>
      </c>
      <c r="F7" s="106">
        <f>$F$1*G7</f>
        <v>264</v>
      </c>
      <c r="G7" s="114">
        <v>880</v>
      </c>
      <c r="H7" s="110" t="s">
        <v>46</v>
      </c>
      <c r="I7" s="108">
        <v>24</v>
      </c>
      <c r="J7" s="108">
        <v>17</v>
      </c>
      <c r="K7" s="108">
        <v>37</v>
      </c>
      <c r="L7" s="108">
        <v>17</v>
      </c>
      <c r="M7" s="108">
        <v>24</v>
      </c>
      <c r="N7" s="108">
        <v>17</v>
      </c>
      <c r="O7" s="108">
        <v>35</v>
      </c>
      <c r="P7" s="108">
        <v>17</v>
      </c>
      <c r="Q7" s="118">
        <f t="shared" si="2"/>
        <v>0.3</v>
      </c>
      <c r="R7" s="78">
        <f t="shared" si="0"/>
        <v>264</v>
      </c>
      <c r="S7" s="85">
        <f t="shared" si="3"/>
        <v>0</v>
      </c>
      <c r="T7" s="82" t="s">
        <v>285</v>
      </c>
      <c r="U7" s="82" t="s">
        <v>337</v>
      </c>
      <c r="V7" s="82" t="s">
        <v>419</v>
      </c>
      <c r="W7" s="82">
        <v>700</v>
      </c>
      <c r="X7" s="107">
        <f t="shared" si="4"/>
        <v>210</v>
      </c>
      <c r="Y7" s="103">
        <v>700</v>
      </c>
      <c r="Z7" s="108" t="s">
        <v>46</v>
      </c>
      <c r="AA7" s="108">
        <v>26</v>
      </c>
      <c r="AB7" s="108">
        <v>33</v>
      </c>
      <c r="AC7" s="108">
        <v>15</v>
      </c>
      <c r="AD7" s="108">
        <v>19</v>
      </c>
      <c r="AE7" s="108">
        <v>31</v>
      </c>
      <c r="AF7" s="108">
        <v>15</v>
      </c>
      <c r="AG7" s="112"/>
    </row>
    <row r="8" spans="2:33" x14ac:dyDescent="0.25">
      <c r="B8" s="82" t="s">
        <v>286</v>
      </c>
      <c r="C8" s="82" t="s">
        <v>337</v>
      </c>
      <c r="D8" s="82" t="s">
        <v>419</v>
      </c>
      <c r="E8" s="95">
        <f t="shared" si="1"/>
        <v>1300</v>
      </c>
      <c r="F8" s="106">
        <f>$F$1*G8</f>
        <v>300</v>
      </c>
      <c r="G8" s="114">
        <v>1000</v>
      </c>
      <c r="H8" s="110" t="s">
        <v>46</v>
      </c>
      <c r="I8" s="108">
        <v>26</v>
      </c>
      <c r="J8" s="108">
        <v>20</v>
      </c>
      <c r="K8" s="108">
        <v>37</v>
      </c>
      <c r="L8" s="108">
        <v>17</v>
      </c>
      <c r="M8" s="108">
        <v>26</v>
      </c>
      <c r="N8" s="108">
        <v>20</v>
      </c>
      <c r="O8" s="108">
        <v>30</v>
      </c>
      <c r="P8" s="108">
        <v>17</v>
      </c>
      <c r="Q8" s="118">
        <f t="shared" si="2"/>
        <v>0.3</v>
      </c>
      <c r="R8" s="78">
        <f t="shared" si="0"/>
        <v>300</v>
      </c>
      <c r="S8" s="85">
        <f t="shared" si="3"/>
        <v>0</v>
      </c>
      <c r="T8" s="82" t="s">
        <v>286</v>
      </c>
      <c r="U8" s="82" t="s">
        <v>337</v>
      </c>
      <c r="V8" s="82" t="s">
        <v>419</v>
      </c>
      <c r="W8" s="82">
        <v>850</v>
      </c>
      <c r="X8" s="107">
        <f t="shared" si="4"/>
        <v>255</v>
      </c>
      <c r="Y8" s="103">
        <v>850</v>
      </c>
      <c r="Z8" s="108" t="s">
        <v>46</v>
      </c>
      <c r="AA8" s="108">
        <v>26</v>
      </c>
      <c r="AB8" s="108">
        <v>32</v>
      </c>
      <c r="AC8" s="108">
        <v>17</v>
      </c>
      <c r="AD8" s="108">
        <v>18</v>
      </c>
      <c r="AE8" s="108">
        <v>29</v>
      </c>
      <c r="AF8" s="108">
        <v>17</v>
      </c>
      <c r="AG8" s="112"/>
    </row>
    <row r="9" spans="2:33" x14ac:dyDescent="0.25">
      <c r="B9" s="82" t="s">
        <v>282</v>
      </c>
      <c r="C9" s="82" t="s">
        <v>338</v>
      </c>
      <c r="D9" s="82" t="s">
        <v>417</v>
      </c>
      <c r="E9" s="95">
        <f t="shared" si="1"/>
        <v>228</v>
      </c>
      <c r="F9" s="113">
        <v>60</v>
      </c>
      <c r="G9" s="105">
        <v>168</v>
      </c>
      <c r="H9" s="110" t="s">
        <v>46</v>
      </c>
      <c r="I9" s="108">
        <v>15</v>
      </c>
      <c r="J9" s="108">
        <v>15</v>
      </c>
      <c r="K9" s="108">
        <v>28</v>
      </c>
      <c r="L9" s="108">
        <v>15</v>
      </c>
      <c r="M9" s="108">
        <v>15</v>
      </c>
      <c r="N9" s="108">
        <v>15</v>
      </c>
      <c r="O9" s="108">
        <v>22</v>
      </c>
      <c r="P9" s="108">
        <v>15</v>
      </c>
      <c r="Q9" s="118">
        <f t="shared" si="2"/>
        <v>0.35714285714285715</v>
      </c>
      <c r="R9" s="78">
        <f t="shared" si="0"/>
        <v>50.4</v>
      </c>
      <c r="S9" s="117">
        <f t="shared" si="3"/>
        <v>-9.6000000000000014</v>
      </c>
      <c r="T9" s="82" t="s">
        <v>282</v>
      </c>
      <c r="U9" s="82" t="s">
        <v>338</v>
      </c>
      <c r="V9" s="82" t="s">
        <v>417</v>
      </c>
      <c r="W9" s="82">
        <v>201</v>
      </c>
      <c r="X9" s="107">
        <f t="shared" si="4"/>
        <v>60.3</v>
      </c>
      <c r="Y9" s="103">
        <v>201</v>
      </c>
      <c r="Z9" s="108" t="s">
        <v>46</v>
      </c>
      <c r="AA9" s="108">
        <v>22</v>
      </c>
      <c r="AB9" s="108">
        <v>24</v>
      </c>
      <c r="AC9" s="108">
        <v>15</v>
      </c>
      <c r="AD9" s="108">
        <v>10</v>
      </c>
      <c r="AE9" s="108">
        <v>13</v>
      </c>
      <c r="AF9" s="108">
        <v>15</v>
      </c>
      <c r="AG9" s="112"/>
    </row>
    <row r="10" spans="2:33" x14ac:dyDescent="0.25">
      <c r="B10" s="82" t="s">
        <v>283</v>
      </c>
      <c r="C10" s="82" t="s">
        <v>338</v>
      </c>
      <c r="D10" s="82" t="s">
        <v>418</v>
      </c>
      <c r="E10" s="95">
        <f t="shared" si="1"/>
        <v>327</v>
      </c>
      <c r="F10" s="113">
        <v>105</v>
      </c>
      <c r="G10" s="105">
        <v>222</v>
      </c>
      <c r="H10" s="110" t="s">
        <v>46</v>
      </c>
      <c r="I10" s="108">
        <v>19</v>
      </c>
      <c r="J10" s="108">
        <v>15</v>
      </c>
      <c r="K10" s="108">
        <v>27</v>
      </c>
      <c r="L10" s="108">
        <v>15</v>
      </c>
      <c r="M10" s="108">
        <v>19</v>
      </c>
      <c r="N10" s="108">
        <v>15</v>
      </c>
      <c r="O10" s="108">
        <v>21</v>
      </c>
      <c r="P10" s="108">
        <v>15</v>
      </c>
      <c r="Q10" s="118">
        <f t="shared" si="2"/>
        <v>0.47297297297297297</v>
      </c>
      <c r="R10" s="78">
        <f t="shared" si="0"/>
        <v>66.599999999999994</v>
      </c>
      <c r="S10" s="117">
        <f t="shared" si="3"/>
        <v>-38.400000000000006</v>
      </c>
      <c r="T10" s="82" t="s">
        <v>283</v>
      </c>
      <c r="U10" s="82" t="s">
        <v>338</v>
      </c>
      <c r="V10" s="82" t="s">
        <v>417</v>
      </c>
      <c r="W10" s="82">
        <v>263</v>
      </c>
      <c r="X10" s="107">
        <f t="shared" si="4"/>
        <v>78.899999999999991</v>
      </c>
      <c r="Y10" s="103">
        <v>263</v>
      </c>
      <c r="Z10" s="108" t="s">
        <v>46</v>
      </c>
      <c r="AA10" s="108">
        <v>22</v>
      </c>
      <c r="AB10" s="108">
        <v>24</v>
      </c>
      <c r="AC10" s="108">
        <v>15</v>
      </c>
      <c r="AD10" s="108">
        <v>11</v>
      </c>
      <c r="AE10" s="108">
        <v>17</v>
      </c>
      <c r="AF10" s="108">
        <v>15</v>
      </c>
      <c r="AG10" s="112"/>
    </row>
    <row r="11" spans="2:33" x14ac:dyDescent="0.25">
      <c r="B11" s="82" t="s">
        <v>284</v>
      </c>
      <c r="C11" s="82" t="s">
        <v>338</v>
      </c>
      <c r="D11" s="82" t="s">
        <v>419</v>
      </c>
      <c r="E11" s="95">
        <f t="shared" si="1"/>
        <v>446</v>
      </c>
      <c r="F11" s="113">
        <v>165</v>
      </c>
      <c r="G11" s="105">
        <v>281</v>
      </c>
      <c r="H11" s="110" t="s">
        <v>46</v>
      </c>
      <c r="I11" s="108">
        <v>21</v>
      </c>
      <c r="J11" s="108">
        <v>15</v>
      </c>
      <c r="K11" s="108">
        <v>30</v>
      </c>
      <c r="L11" s="108">
        <v>15</v>
      </c>
      <c r="M11" s="108">
        <v>21</v>
      </c>
      <c r="N11" s="108">
        <v>15</v>
      </c>
      <c r="O11" s="108">
        <v>26</v>
      </c>
      <c r="P11" s="108">
        <v>15</v>
      </c>
      <c r="Q11" s="118">
        <f t="shared" si="2"/>
        <v>0.58718861209964412</v>
      </c>
      <c r="R11" s="78">
        <f t="shared" si="0"/>
        <v>84.3</v>
      </c>
      <c r="S11" s="117">
        <f t="shared" si="3"/>
        <v>-80.7</v>
      </c>
      <c r="T11" s="82" t="s">
        <v>284</v>
      </c>
      <c r="U11" s="82" t="s">
        <v>338</v>
      </c>
      <c r="V11" s="82" t="s">
        <v>419</v>
      </c>
      <c r="W11" s="82">
        <v>350</v>
      </c>
      <c r="X11" s="113">
        <v>165</v>
      </c>
      <c r="Y11" s="103">
        <v>350</v>
      </c>
      <c r="Z11" s="108" t="s">
        <v>46</v>
      </c>
      <c r="AA11" s="108">
        <v>21</v>
      </c>
      <c r="AB11" s="108">
        <v>23</v>
      </c>
      <c r="AC11" s="108">
        <v>15</v>
      </c>
      <c r="AD11" s="108">
        <v>11</v>
      </c>
      <c r="AE11" s="108">
        <v>16</v>
      </c>
      <c r="AF11" s="108">
        <v>15</v>
      </c>
      <c r="AG11" s="112"/>
    </row>
    <row r="12" spans="2:33" x14ac:dyDescent="0.25">
      <c r="B12" s="82" t="s">
        <v>285</v>
      </c>
      <c r="C12" s="82" t="s">
        <v>338</v>
      </c>
      <c r="D12" s="82" t="s">
        <v>419</v>
      </c>
      <c r="E12" s="95">
        <f t="shared" si="1"/>
        <v>1163.5</v>
      </c>
      <c r="F12" s="106">
        <f>$F$1*G12</f>
        <v>268.5</v>
      </c>
      <c r="G12" s="114">
        <v>895</v>
      </c>
      <c r="H12" s="110" t="s">
        <v>46</v>
      </c>
      <c r="I12" s="108">
        <v>24</v>
      </c>
      <c r="J12" s="108">
        <v>17</v>
      </c>
      <c r="K12" s="108">
        <v>38</v>
      </c>
      <c r="L12" s="108">
        <v>19</v>
      </c>
      <c r="M12" s="108">
        <v>24</v>
      </c>
      <c r="N12" s="108">
        <v>17</v>
      </c>
      <c r="O12" s="108">
        <v>37</v>
      </c>
      <c r="P12" s="108">
        <v>19</v>
      </c>
      <c r="Q12" s="118">
        <f t="shared" si="2"/>
        <v>0.3</v>
      </c>
      <c r="R12" s="78">
        <f t="shared" si="0"/>
        <v>268.5</v>
      </c>
      <c r="S12" s="85">
        <f t="shared" si="3"/>
        <v>0</v>
      </c>
      <c r="T12" s="82" t="s">
        <v>285</v>
      </c>
      <c r="U12" s="82" t="s">
        <v>338</v>
      </c>
      <c r="V12" s="82" t="s">
        <v>419</v>
      </c>
      <c r="W12" s="82">
        <v>700</v>
      </c>
      <c r="X12" s="107">
        <f t="shared" si="4"/>
        <v>210</v>
      </c>
      <c r="Y12" s="103">
        <v>700</v>
      </c>
      <c r="Z12" s="108" t="s">
        <v>46</v>
      </c>
      <c r="AA12" s="108">
        <v>24</v>
      </c>
      <c r="AB12" s="108">
        <v>33</v>
      </c>
      <c r="AC12" s="108">
        <v>15</v>
      </c>
      <c r="AD12" s="108">
        <v>16</v>
      </c>
      <c r="AE12" s="108">
        <v>31</v>
      </c>
      <c r="AF12" s="108">
        <v>15</v>
      </c>
      <c r="AG12" s="112"/>
    </row>
    <row r="13" spans="2:33" x14ac:dyDescent="0.25">
      <c r="B13" s="82" t="s">
        <v>281</v>
      </c>
      <c r="C13" s="82" t="s">
        <v>337</v>
      </c>
      <c r="D13" s="82" t="s">
        <v>417</v>
      </c>
      <c r="E13" s="95">
        <f t="shared" si="1"/>
        <v>475.8</v>
      </c>
      <c r="F13" s="106">
        <f t="shared" ref="F13:F32" si="5">$F$1*G13</f>
        <v>109.8</v>
      </c>
      <c r="G13" s="106">
        <v>366</v>
      </c>
      <c r="H13" s="116">
        <v>0.5</v>
      </c>
      <c r="I13" s="108">
        <v>23</v>
      </c>
      <c r="J13" s="108">
        <v>19</v>
      </c>
      <c r="K13" s="108">
        <v>30</v>
      </c>
      <c r="L13" s="108">
        <v>15</v>
      </c>
      <c r="M13" s="108">
        <v>23</v>
      </c>
      <c r="N13" s="108">
        <v>19</v>
      </c>
      <c r="O13" s="108">
        <v>29</v>
      </c>
      <c r="P13" s="108">
        <v>15</v>
      </c>
      <c r="Q13" s="118">
        <f t="shared" si="2"/>
        <v>0.3</v>
      </c>
      <c r="R13" s="78">
        <f>$F$1*G13</f>
        <v>109.8</v>
      </c>
      <c r="S13" s="85">
        <f t="shared" si="3"/>
        <v>0</v>
      </c>
      <c r="T13" s="82" t="s">
        <v>281</v>
      </c>
      <c r="U13" s="82" t="s">
        <v>337</v>
      </c>
      <c r="V13" s="82" t="s">
        <v>416</v>
      </c>
      <c r="W13" s="82">
        <v>305</v>
      </c>
      <c r="X13" s="107">
        <f t="shared" si="4"/>
        <v>91.5</v>
      </c>
      <c r="Y13" s="106">
        <v>305</v>
      </c>
      <c r="Z13" s="109">
        <v>0.5</v>
      </c>
      <c r="AA13" s="108">
        <v>22</v>
      </c>
      <c r="AB13" s="108">
        <v>27</v>
      </c>
      <c r="AC13" s="108">
        <v>17</v>
      </c>
      <c r="AD13" s="108">
        <v>19</v>
      </c>
      <c r="AE13" s="108">
        <v>25</v>
      </c>
      <c r="AF13" s="108">
        <v>17</v>
      </c>
    </row>
    <row r="14" spans="2:33" x14ac:dyDescent="0.25">
      <c r="B14" s="82" t="s">
        <v>282</v>
      </c>
      <c r="C14" s="82" t="s">
        <v>337</v>
      </c>
      <c r="D14" s="82" t="s">
        <v>419</v>
      </c>
      <c r="E14" s="95">
        <f t="shared" si="1"/>
        <v>928.2</v>
      </c>
      <c r="F14" s="106">
        <f t="shared" si="5"/>
        <v>214.2</v>
      </c>
      <c r="G14" s="106">
        <v>714</v>
      </c>
      <c r="H14" s="116">
        <v>0.5</v>
      </c>
      <c r="I14" s="108">
        <v>26</v>
      </c>
      <c r="J14" s="108">
        <v>16</v>
      </c>
      <c r="K14" s="108">
        <v>37</v>
      </c>
      <c r="L14" s="108">
        <v>19</v>
      </c>
      <c r="M14" s="108">
        <v>26</v>
      </c>
      <c r="N14" s="108">
        <v>16</v>
      </c>
      <c r="O14" s="108">
        <v>35</v>
      </c>
      <c r="P14" s="108">
        <v>19</v>
      </c>
      <c r="Q14" s="118">
        <f t="shared" si="2"/>
        <v>0.3</v>
      </c>
      <c r="R14" s="78">
        <f t="shared" si="0"/>
        <v>214.2</v>
      </c>
      <c r="S14" s="85">
        <f t="shared" si="3"/>
        <v>0</v>
      </c>
      <c r="T14" s="82" t="s">
        <v>282</v>
      </c>
      <c r="U14" s="82" t="s">
        <v>337</v>
      </c>
      <c r="V14" s="82" t="s">
        <v>418</v>
      </c>
      <c r="W14" s="82">
        <v>525</v>
      </c>
      <c r="X14" s="107">
        <f t="shared" si="4"/>
        <v>157.5</v>
      </c>
      <c r="Y14" s="106">
        <v>525</v>
      </c>
      <c r="Z14" s="109">
        <v>0.5</v>
      </c>
      <c r="AA14" s="108">
        <v>26</v>
      </c>
      <c r="AB14" s="108">
        <v>28</v>
      </c>
      <c r="AC14" s="108">
        <v>15</v>
      </c>
      <c r="AD14" s="108">
        <v>16</v>
      </c>
      <c r="AE14" s="108">
        <v>25</v>
      </c>
      <c r="AF14" s="108">
        <v>15</v>
      </c>
    </row>
    <row r="15" spans="2:33" x14ac:dyDescent="0.25">
      <c r="B15" s="82" t="s">
        <v>283</v>
      </c>
      <c r="C15" s="82" t="s">
        <v>337</v>
      </c>
      <c r="D15" s="82" t="s">
        <v>419</v>
      </c>
      <c r="E15" s="95">
        <f t="shared" si="1"/>
        <v>1137.5</v>
      </c>
      <c r="F15" s="106">
        <f t="shared" si="5"/>
        <v>262.5</v>
      </c>
      <c r="G15" s="106">
        <v>875</v>
      </c>
      <c r="H15" s="116">
        <v>0.5</v>
      </c>
      <c r="I15" s="108">
        <v>27</v>
      </c>
      <c r="J15" s="108">
        <v>19</v>
      </c>
      <c r="K15" s="108">
        <v>36</v>
      </c>
      <c r="L15" s="108">
        <v>17</v>
      </c>
      <c r="M15" s="108">
        <v>27</v>
      </c>
      <c r="N15" s="108">
        <v>19</v>
      </c>
      <c r="O15" s="108">
        <v>34</v>
      </c>
      <c r="P15" s="108">
        <v>17</v>
      </c>
      <c r="Q15" s="118">
        <f t="shared" si="2"/>
        <v>0.3</v>
      </c>
      <c r="R15" s="78">
        <f t="shared" si="0"/>
        <v>262.5</v>
      </c>
      <c r="S15" s="85">
        <f t="shared" si="3"/>
        <v>0</v>
      </c>
      <c r="T15" s="82" t="s">
        <v>283</v>
      </c>
      <c r="U15" s="82" t="s">
        <v>337</v>
      </c>
      <c r="V15" s="82" t="s">
        <v>418</v>
      </c>
      <c r="W15" s="82">
        <v>650</v>
      </c>
      <c r="X15" s="107">
        <f t="shared" si="4"/>
        <v>195</v>
      </c>
      <c r="Y15" s="106">
        <v>650</v>
      </c>
      <c r="Z15" s="109">
        <v>0.5</v>
      </c>
      <c r="AA15" s="108">
        <v>27</v>
      </c>
      <c r="AB15" s="108">
        <v>31</v>
      </c>
      <c r="AC15" s="108">
        <v>15</v>
      </c>
      <c r="AD15" s="108">
        <v>20</v>
      </c>
      <c r="AE15" s="108">
        <v>26</v>
      </c>
      <c r="AF15" s="108">
        <v>15</v>
      </c>
    </row>
    <row r="16" spans="2:33" x14ac:dyDescent="0.25">
      <c r="B16" s="82" t="s">
        <v>284</v>
      </c>
      <c r="C16" s="82" t="s">
        <v>337</v>
      </c>
      <c r="D16" s="82" t="s">
        <v>419</v>
      </c>
      <c r="E16" s="95">
        <f t="shared" si="1"/>
        <v>1319.5</v>
      </c>
      <c r="F16" s="106">
        <f t="shared" si="5"/>
        <v>304.5</v>
      </c>
      <c r="G16" s="106">
        <v>1015</v>
      </c>
      <c r="H16" s="116">
        <v>0.5</v>
      </c>
      <c r="I16" s="108">
        <v>30</v>
      </c>
      <c r="J16" s="108">
        <v>21</v>
      </c>
      <c r="K16" s="108">
        <v>37</v>
      </c>
      <c r="L16" s="108">
        <v>17</v>
      </c>
      <c r="M16" s="108">
        <v>30</v>
      </c>
      <c r="N16" s="108">
        <v>21</v>
      </c>
      <c r="O16" s="108">
        <v>31</v>
      </c>
      <c r="P16" s="108">
        <v>17</v>
      </c>
      <c r="Q16" s="118">
        <f t="shared" si="2"/>
        <v>0.3</v>
      </c>
      <c r="R16" s="78">
        <f t="shared" si="0"/>
        <v>304.5</v>
      </c>
      <c r="S16" s="85">
        <f t="shared" si="3"/>
        <v>0</v>
      </c>
      <c r="T16" s="82" t="s">
        <v>284</v>
      </c>
      <c r="U16" s="82" t="s">
        <v>337</v>
      </c>
      <c r="V16" s="82" t="s">
        <v>419</v>
      </c>
      <c r="W16" s="82">
        <v>875</v>
      </c>
      <c r="X16" s="107">
        <f t="shared" si="4"/>
        <v>262.5</v>
      </c>
      <c r="Y16" s="106">
        <v>875</v>
      </c>
      <c r="Z16" s="109">
        <v>0.5</v>
      </c>
      <c r="AA16" s="108">
        <v>30</v>
      </c>
      <c r="AB16" s="108">
        <v>33</v>
      </c>
      <c r="AC16" s="108">
        <v>15</v>
      </c>
      <c r="AD16" s="108">
        <v>21</v>
      </c>
      <c r="AE16" s="108">
        <v>26</v>
      </c>
      <c r="AF16" s="108">
        <v>15</v>
      </c>
    </row>
    <row r="17" spans="2:32" x14ac:dyDescent="0.25">
      <c r="B17" s="82" t="s">
        <v>285</v>
      </c>
      <c r="C17" s="82" t="s">
        <v>337</v>
      </c>
      <c r="D17" s="82" t="s">
        <v>420</v>
      </c>
      <c r="E17" s="95">
        <f t="shared" si="1"/>
        <v>1937</v>
      </c>
      <c r="F17" s="106">
        <f t="shared" si="5"/>
        <v>447</v>
      </c>
      <c r="G17" s="106">
        <v>1490</v>
      </c>
      <c r="H17" s="116">
        <v>0.5</v>
      </c>
      <c r="I17" s="108">
        <v>31</v>
      </c>
      <c r="J17" s="108">
        <v>24</v>
      </c>
      <c r="K17" s="108">
        <v>42</v>
      </c>
      <c r="L17" s="108">
        <v>24</v>
      </c>
      <c r="M17" s="108">
        <v>31</v>
      </c>
      <c r="N17" s="108">
        <v>24</v>
      </c>
      <c r="O17" s="108">
        <v>40</v>
      </c>
      <c r="P17" s="108">
        <v>24</v>
      </c>
      <c r="Q17" s="118">
        <f t="shared" si="2"/>
        <v>0.3</v>
      </c>
      <c r="R17" s="78">
        <f t="shared" si="0"/>
        <v>447</v>
      </c>
      <c r="S17" s="85">
        <f t="shared" si="3"/>
        <v>0</v>
      </c>
      <c r="T17" s="82" t="s">
        <v>285</v>
      </c>
      <c r="U17" s="82" t="s">
        <v>337</v>
      </c>
      <c r="V17" s="82" t="s">
        <v>419</v>
      </c>
      <c r="W17" s="82">
        <v>1050</v>
      </c>
      <c r="X17" s="107">
        <f t="shared" si="4"/>
        <v>315</v>
      </c>
      <c r="Y17" s="106">
        <v>1050</v>
      </c>
      <c r="Z17" s="109">
        <v>0.5</v>
      </c>
      <c r="AA17" s="108">
        <v>31</v>
      </c>
      <c r="AB17" s="108">
        <v>33</v>
      </c>
      <c r="AC17" s="108">
        <v>15</v>
      </c>
      <c r="AD17" s="108">
        <v>20</v>
      </c>
      <c r="AE17" s="108">
        <v>30</v>
      </c>
      <c r="AF17" s="108">
        <v>15</v>
      </c>
    </row>
    <row r="18" spans="2:32" x14ac:dyDescent="0.25">
      <c r="B18" s="82" t="s">
        <v>286</v>
      </c>
      <c r="C18" s="82" t="s">
        <v>337</v>
      </c>
      <c r="D18" s="82" t="s">
        <v>421</v>
      </c>
      <c r="E18" s="95">
        <f t="shared" si="1"/>
        <v>2132</v>
      </c>
      <c r="F18" s="106">
        <f t="shared" si="5"/>
        <v>492</v>
      </c>
      <c r="G18" s="106">
        <v>1640</v>
      </c>
      <c r="H18" s="116">
        <v>0.5</v>
      </c>
      <c r="I18" s="108">
        <v>30</v>
      </c>
      <c r="J18" s="108">
        <v>21</v>
      </c>
      <c r="K18" s="108">
        <v>44</v>
      </c>
      <c r="L18" s="108">
        <v>26</v>
      </c>
      <c r="M18" s="108">
        <v>30</v>
      </c>
      <c r="N18" s="108">
        <v>21</v>
      </c>
      <c r="O18" s="108">
        <v>35</v>
      </c>
      <c r="P18" s="108">
        <v>26</v>
      </c>
      <c r="Q18" s="118">
        <f t="shared" si="2"/>
        <v>0.3</v>
      </c>
      <c r="R18" s="78">
        <f t="shared" si="0"/>
        <v>492</v>
      </c>
      <c r="S18" s="85">
        <f t="shared" si="3"/>
        <v>0</v>
      </c>
      <c r="T18" s="82" t="s">
        <v>286</v>
      </c>
      <c r="U18" s="82" t="s">
        <v>337</v>
      </c>
      <c r="V18" s="82" t="s">
        <v>419</v>
      </c>
      <c r="W18" s="82">
        <v>1230</v>
      </c>
      <c r="X18" s="107">
        <f t="shared" si="4"/>
        <v>369</v>
      </c>
      <c r="Y18" s="106">
        <v>1230</v>
      </c>
      <c r="Z18" s="109">
        <v>0.5</v>
      </c>
      <c r="AA18" s="108">
        <v>31</v>
      </c>
      <c r="AB18" s="108">
        <v>36</v>
      </c>
      <c r="AC18" s="108">
        <v>22</v>
      </c>
      <c r="AD18" s="108">
        <v>23</v>
      </c>
      <c r="AE18" s="108">
        <v>31</v>
      </c>
      <c r="AF18" s="108">
        <v>22</v>
      </c>
    </row>
    <row r="19" spans="2:32" x14ac:dyDescent="0.25">
      <c r="B19" s="82" t="s">
        <v>282</v>
      </c>
      <c r="C19" s="82" t="s">
        <v>338</v>
      </c>
      <c r="D19" s="82" t="s">
        <v>418</v>
      </c>
      <c r="E19" s="95">
        <f t="shared" si="1"/>
        <v>811.2</v>
      </c>
      <c r="F19" s="106">
        <f t="shared" si="5"/>
        <v>187.2</v>
      </c>
      <c r="G19" s="106">
        <v>624</v>
      </c>
      <c r="H19" s="116">
        <v>0.5</v>
      </c>
      <c r="I19" s="108">
        <v>26</v>
      </c>
      <c r="J19" s="108">
        <v>19</v>
      </c>
      <c r="K19" s="108">
        <v>35</v>
      </c>
      <c r="L19" s="108">
        <v>22</v>
      </c>
      <c r="M19" s="108">
        <v>26</v>
      </c>
      <c r="N19" s="108">
        <v>19</v>
      </c>
      <c r="O19" s="108">
        <v>34</v>
      </c>
      <c r="P19" s="108">
        <v>22</v>
      </c>
      <c r="Q19" s="118">
        <f t="shared" si="2"/>
        <v>0.3</v>
      </c>
      <c r="R19" s="78">
        <f t="shared" si="0"/>
        <v>187.2</v>
      </c>
      <c r="S19" s="85">
        <f t="shared" si="3"/>
        <v>0</v>
      </c>
      <c r="T19" s="82" t="s">
        <v>282</v>
      </c>
      <c r="U19" s="82" t="s">
        <v>338</v>
      </c>
      <c r="V19" s="82" t="s">
        <v>417</v>
      </c>
      <c r="W19" s="82">
        <v>450</v>
      </c>
      <c r="X19" s="107">
        <f t="shared" si="4"/>
        <v>135</v>
      </c>
      <c r="Y19" s="106">
        <v>450</v>
      </c>
      <c r="Z19" s="109">
        <v>0.5</v>
      </c>
      <c r="AA19" s="108">
        <v>25</v>
      </c>
      <c r="AB19" s="108">
        <v>28</v>
      </c>
      <c r="AC19" s="108">
        <v>15</v>
      </c>
      <c r="AD19" s="108">
        <v>13</v>
      </c>
      <c r="AE19" s="108">
        <v>24</v>
      </c>
      <c r="AF19" s="108">
        <v>15</v>
      </c>
    </row>
    <row r="20" spans="2:32" x14ac:dyDescent="0.25">
      <c r="B20" s="82" t="s">
        <v>283</v>
      </c>
      <c r="C20" s="82" t="s">
        <v>338</v>
      </c>
      <c r="D20" s="82" t="s">
        <v>419</v>
      </c>
      <c r="E20" s="95">
        <f t="shared" si="1"/>
        <v>1125.8</v>
      </c>
      <c r="F20" s="106">
        <f t="shared" si="5"/>
        <v>259.8</v>
      </c>
      <c r="G20" s="106">
        <v>866</v>
      </c>
      <c r="H20" s="116">
        <v>0.5</v>
      </c>
      <c r="I20" s="108">
        <v>27</v>
      </c>
      <c r="J20" s="108">
        <v>19</v>
      </c>
      <c r="K20" s="108">
        <v>36</v>
      </c>
      <c r="L20" s="108">
        <v>15</v>
      </c>
      <c r="M20" s="108">
        <v>27</v>
      </c>
      <c r="N20" s="108">
        <v>19</v>
      </c>
      <c r="O20" s="108">
        <v>31</v>
      </c>
      <c r="P20" s="108">
        <v>15</v>
      </c>
      <c r="Q20" s="118">
        <f t="shared" si="2"/>
        <v>0.3</v>
      </c>
      <c r="R20" s="78">
        <f t="shared" si="0"/>
        <v>259.8</v>
      </c>
      <c r="S20" s="85">
        <f t="shared" si="3"/>
        <v>0</v>
      </c>
      <c r="T20" s="82" t="s">
        <v>283</v>
      </c>
      <c r="U20" s="82" t="s">
        <v>338</v>
      </c>
      <c r="V20" s="82" t="s">
        <v>418</v>
      </c>
      <c r="W20" s="82">
        <v>630</v>
      </c>
      <c r="X20" s="107">
        <f t="shared" si="4"/>
        <v>189</v>
      </c>
      <c r="Y20" s="106">
        <v>630</v>
      </c>
      <c r="Z20" s="109">
        <v>0.5</v>
      </c>
      <c r="AA20" s="108">
        <v>26</v>
      </c>
      <c r="AB20" s="108">
        <v>31</v>
      </c>
      <c r="AC20" s="108">
        <v>15</v>
      </c>
      <c r="AD20" s="108">
        <v>15</v>
      </c>
      <c r="AE20" s="108">
        <v>26</v>
      </c>
      <c r="AF20" s="108">
        <v>15</v>
      </c>
    </row>
    <row r="21" spans="2:32" x14ac:dyDescent="0.25">
      <c r="B21" s="82" t="s">
        <v>284</v>
      </c>
      <c r="C21" s="82" t="s">
        <v>338</v>
      </c>
      <c r="D21" s="82" t="s">
        <v>419</v>
      </c>
      <c r="E21" s="95">
        <f t="shared" si="1"/>
        <v>1385.8</v>
      </c>
      <c r="F21" s="106">
        <f t="shared" si="5"/>
        <v>319.8</v>
      </c>
      <c r="G21" s="106">
        <v>1066</v>
      </c>
      <c r="H21" s="116">
        <v>0.5</v>
      </c>
      <c r="I21" s="108">
        <v>31</v>
      </c>
      <c r="J21" s="108">
        <v>22</v>
      </c>
      <c r="K21" s="108">
        <v>38</v>
      </c>
      <c r="L21" s="108">
        <v>19</v>
      </c>
      <c r="M21" s="108">
        <v>31</v>
      </c>
      <c r="N21" s="108">
        <v>22</v>
      </c>
      <c r="O21" s="108">
        <v>31</v>
      </c>
      <c r="P21" s="108">
        <v>19</v>
      </c>
      <c r="Q21" s="118">
        <f t="shared" si="2"/>
        <v>0.3</v>
      </c>
      <c r="R21" s="78">
        <f t="shared" si="0"/>
        <v>319.8</v>
      </c>
      <c r="S21" s="85">
        <f t="shared" si="3"/>
        <v>0</v>
      </c>
      <c r="T21" s="82" t="s">
        <v>284</v>
      </c>
      <c r="U21" s="82" t="s">
        <v>338</v>
      </c>
      <c r="V21" s="82" t="s">
        <v>419</v>
      </c>
      <c r="W21" s="82">
        <v>850</v>
      </c>
      <c r="X21" s="107">
        <f t="shared" si="4"/>
        <v>255</v>
      </c>
      <c r="Y21" s="106">
        <v>850</v>
      </c>
      <c r="Z21" s="109">
        <v>0.5</v>
      </c>
      <c r="AA21" s="108">
        <v>27</v>
      </c>
      <c r="AB21" s="108">
        <v>33</v>
      </c>
      <c r="AC21" s="108">
        <v>15</v>
      </c>
      <c r="AD21" s="108">
        <v>17</v>
      </c>
      <c r="AE21" s="108">
        <v>26</v>
      </c>
      <c r="AF21" s="108">
        <v>15</v>
      </c>
    </row>
    <row r="22" spans="2:32" x14ac:dyDescent="0.25">
      <c r="B22" s="82" t="s">
        <v>285</v>
      </c>
      <c r="C22" s="82" t="s">
        <v>338</v>
      </c>
      <c r="D22" s="82" t="s">
        <v>421</v>
      </c>
      <c r="E22" s="95">
        <f t="shared" si="1"/>
        <v>2021.5</v>
      </c>
      <c r="F22" s="106">
        <f t="shared" si="5"/>
        <v>466.5</v>
      </c>
      <c r="G22" s="106">
        <v>1555</v>
      </c>
      <c r="H22" s="116">
        <v>0.5</v>
      </c>
      <c r="I22" s="108">
        <v>29</v>
      </c>
      <c r="J22" s="108">
        <v>21</v>
      </c>
      <c r="K22" s="108">
        <v>44</v>
      </c>
      <c r="L22" s="108">
        <v>26</v>
      </c>
      <c r="M22" s="108">
        <v>29</v>
      </c>
      <c r="N22" s="108">
        <v>21</v>
      </c>
      <c r="O22" s="108">
        <v>43</v>
      </c>
      <c r="P22" s="108">
        <v>26</v>
      </c>
      <c r="Q22" s="118">
        <f t="shared" si="2"/>
        <v>0.3</v>
      </c>
      <c r="R22" s="78">
        <f t="shared" si="0"/>
        <v>466.5</v>
      </c>
      <c r="S22" s="85">
        <f t="shared" si="3"/>
        <v>0</v>
      </c>
      <c r="T22" s="82" t="s">
        <v>285</v>
      </c>
      <c r="U22" s="82" t="s">
        <v>338</v>
      </c>
      <c r="V22" s="82" t="s">
        <v>419</v>
      </c>
      <c r="W22" s="82">
        <v>900</v>
      </c>
      <c r="X22" s="107">
        <f t="shared" si="4"/>
        <v>270</v>
      </c>
      <c r="Y22" s="106">
        <v>900</v>
      </c>
      <c r="Z22" s="109">
        <v>0.5</v>
      </c>
      <c r="AA22" s="108">
        <v>26</v>
      </c>
      <c r="AB22" s="108">
        <v>33</v>
      </c>
      <c r="AC22" s="108">
        <v>15</v>
      </c>
      <c r="AD22" s="108">
        <v>16</v>
      </c>
      <c r="AE22" s="108">
        <v>30</v>
      </c>
      <c r="AF22" s="108">
        <v>15</v>
      </c>
    </row>
    <row r="23" spans="2:32" x14ac:dyDescent="0.25">
      <c r="B23" s="82" t="s">
        <v>281</v>
      </c>
      <c r="C23" s="82" t="s">
        <v>337</v>
      </c>
      <c r="D23" s="82" t="s">
        <v>418</v>
      </c>
      <c r="E23" s="95">
        <f t="shared" si="1"/>
        <v>591.5</v>
      </c>
      <c r="F23" s="106">
        <f t="shared" si="5"/>
        <v>136.5</v>
      </c>
      <c r="G23" s="106">
        <v>455</v>
      </c>
      <c r="H23" s="110" t="s">
        <v>10</v>
      </c>
      <c r="I23" s="108">
        <v>22</v>
      </c>
      <c r="J23" s="108">
        <v>16</v>
      </c>
      <c r="K23" s="108">
        <v>33</v>
      </c>
      <c r="L23" s="108">
        <v>17</v>
      </c>
      <c r="M23" s="108">
        <v>22</v>
      </c>
      <c r="N23" s="108">
        <v>16</v>
      </c>
      <c r="O23" s="108">
        <v>31</v>
      </c>
      <c r="P23" s="108">
        <v>17</v>
      </c>
      <c r="Q23" s="118">
        <f t="shared" si="2"/>
        <v>0.3</v>
      </c>
      <c r="R23" s="78">
        <f t="shared" si="0"/>
        <v>136.5</v>
      </c>
      <c r="S23" s="85">
        <f t="shared" si="3"/>
        <v>0</v>
      </c>
      <c r="T23" s="82" t="s">
        <v>281</v>
      </c>
      <c r="U23" s="82" t="s">
        <v>337</v>
      </c>
      <c r="V23" s="82" t="s">
        <v>418</v>
      </c>
      <c r="W23" s="82">
        <v>695</v>
      </c>
      <c r="X23" s="107">
        <f t="shared" si="4"/>
        <v>208.5</v>
      </c>
      <c r="Y23" s="110">
        <v>695</v>
      </c>
      <c r="Z23" s="108" t="s">
        <v>10</v>
      </c>
      <c r="AA23" s="108">
        <v>34</v>
      </c>
      <c r="AB23" s="108">
        <v>37</v>
      </c>
      <c r="AC23" s="108">
        <v>31</v>
      </c>
      <c r="AD23" s="108">
        <v>30</v>
      </c>
      <c r="AE23" s="108">
        <v>33</v>
      </c>
      <c r="AF23" s="108">
        <v>31</v>
      </c>
    </row>
    <row r="24" spans="2:32" x14ac:dyDescent="0.25">
      <c r="B24" s="82" t="s">
        <v>282</v>
      </c>
      <c r="C24" s="82" t="s">
        <v>337</v>
      </c>
      <c r="D24" s="82" t="s">
        <v>420</v>
      </c>
      <c r="E24" s="95">
        <f t="shared" si="1"/>
        <v>1423.5</v>
      </c>
      <c r="F24" s="106">
        <f t="shared" si="5"/>
        <v>328.5</v>
      </c>
      <c r="G24" s="106">
        <v>1095</v>
      </c>
      <c r="H24" s="110" t="s">
        <v>10</v>
      </c>
      <c r="I24" s="108">
        <v>31</v>
      </c>
      <c r="J24" s="108">
        <v>19</v>
      </c>
      <c r="K24" s="108">
        <v>40</v>
      </c>
      <c r="L24" s="108">
        <v>22</v>
      </c>
      <c r="M24" s="108">
        <v>31</v>
      </c>
      <c r="N24" s="108">
        <v>19</v>
      </c>
      <c r="O24" s="108">
        <v>39</v>
      </c>
      <c r="P24" s="108">
        <v>22</v>
      </c>
      <c r="Q24" s="118">
        <f t="shared" si="2"/>
        <v>0.3</v>
      </c>
      <c r="R24" s="78">
        <f t="shared" si="0"/>
        <v>328.5</v>
      </c>
      <c r="S24" s="85">
        <f t="shared" si="3"/>
        <v>0</v>
      </c>
      <c r="T24" s="82" t="s">
        <v>282</v>
      </c>
      <c r="U24" s="82" t="s">
        <v>337</v>
      </c>
      <c r="V24" s="82" t="s">
        <v>419</v>
      </c>
      <c r="W24" s="82">
        <v>1185</v>
      </c>
      <c r="X24" s="107">
        <f t="shared" si="4"/>
        <v>355.5</v>
      </c>
      <c r="Y24" s="110">
        <v>1185</v>
      </c>
      <c r="Z24" s="108" t="s">
        <v>10</v>
      </c>
      <c r="AA24" s="108">
        <v>40</v>
      </c>
      <c r="AB24" s="108">
        <v>40</v>
      </c>
      <c r="AC24" s="108">
        <v>29</v>
      </c>
      <c r="AD24" s="108">
        <v>38</v>
      </c>
      <c r="AE24" s="108">
        <v>38</v>
      </c>
      <c r="AF24" s="108">
        <v>29</v>
      </c>
    </row>
    <row r="25" spans="2:32" x14ac:dyDescent="0.25">
      <c r="B25" s="82" t="s">
        <v>283</v>
      </c>
      <c r="C25" s="82" t="s">
        <v>337</v>
      </c>
      <c r="D25" s="82" t="s">
        <v>420</v>
      </c>
      <c r="E25" s="95">
        <f t="shared" si="1"/>
        <v>1722.5</v>
      </c>
      <c r="F25" s="106">
        <f t="shared" si="5"/>
        <v>397.5</v>
      </c>
      <c r="G25" s="106">
        <v>1325</v>
      </c>
      <c r="H25" s="110" t="s">
        <v>10</v>
      </c>
      <c r="I25" s="108">
        <v>34</v>
      </c>
      <c r="J25" s="108">
        <v>21</v>
      </c>
      <c r="K25" s="108">
        <v>43</v>
      </c>
      <c r="L25" s="108">
        <v>24</v>
      </c>
      <c r="M25" s="108">
        <v>34</v>
      </c>
      <c r="N25" s="108">
        <v>21</v>
      </c>
      <c r="O25" s="108">
        <v>40</v>
      </c>
      <c r="P25" s="108">
        <v>24</v>
      </c>
      <c r="Q25" s="118">
        <f t="shared" si="2"/>
        <v>0.3</v>
      </c>
      <c r="R25" s="78">
        <f t="shared" si="0"/>
        <v>397.5</v>
      </c>
      <c r="S25" s="85">
        <f t="shared" si="3"/>
        <v>0</v>
      </c>
      <c r="T25" s="82" t="s">
        <v>283</v>
      </c>
      <c r="U25" s="82" t="s">
        <v>337</v>
      </c>
      <c r="V25" s="82" t="s">
        <v>420</v>
      </c>
      <c r="W25" s="82">
        <v>1555</v>
      </c>
      <c r="X25" s="107">
        <f t="shared" si="4"/>
        <v>466.5</v>
      </c>
      <c r="Y25" s="110">
        <v>1555</v>
      </c>
      <c r="Z25" s="108" t="s">
        <v>10</v>
      </c>
      <c r="AA25" s="108">
        <v>42</v>
      </c>
      <c r="AB25" s="108">
        <v>44</v>
      </c>
      <c r="AC25" s="108">
        <v>30</v>
      </c>
      <c r="AD25" s="108">
        <v>39</v>
      </c>
      <c r="AE25" s="108">
        <v>40</v>
      </c>
      <c r="AF25" s="108">
        <v>30</v>
      </c>
    </row>
    <row r="26" spans="2:32" x14ac:dyDescent="0.25">
      <c r="B26" s="82" t="s">
        <v>284</v>
      </c>
      <c r="C26" s="82" t="s">
        <v>337</v>
      </c>
      <c r="D26" s="82" t="s">
        <v>421</v>
      </c>
      <c r="E26" s="95">
        <f t="shared" si="1"/>
        <v>2002</v>
      </c>
      <c r="F26" s="106">
        <f t="shared" si="5"/>
        <v>462</v>
      </c>
      <c r="G26" s="106">
        <v>1540</v>
      </c>
      <c r="H26" s="110" t="s">
        <v>10</v>
      </c>
      <c r="I26" s="108">
        <v>34</v>
      </c>
      <c r="J26" s="108">
        <v>21</v>
      </c>
      <c r="K26" s="108">
        <v>44</v>
      </c>
      <c r="L26" s="108">
        <v>24</v>
      </c>
      <c r="M26" s="108">
        <v>34</v>
      </c>
      <c r="N26" s="108">
        <v>21</v>
      </c>
      <c r="O26" s="108">
        <v>39</v>
      </c>
      <c r="P26" s="108">
        <v>24</v>
      </c>
      <c r="Q26" s="118">
        <f t="shared" si="2"/>
        <v>0.3</v>
      </c>
      <c r="R26" s="78">
        <f t="shared" si="0"/>
        <v>462</v>
      </c>
      <c r="S26" s="85">
        <f t="shared" si="3"/>
        <v>0</v>
      </c>
      <c r="T26" s="82" t="s">
        <v>284</v>
      </c>
      <c r="U26" s="82" t="s">
        <v>337</v>
      </c>
      <c r="V26" s="82" t="s">
        <v>421</v>
      </c>
      <c r="W26" s="82">
        <v>1900</v>
      </c>
      <c r="X26" s="107">
        <f t="shared" si="4"/>
        <v>570</v>
      </c>
      <c r="Y26" s="110">
        <v>1900</v>
      </c>
      <c r="Z26" s="108" t="s">
        <v>10</v>
      </c>
      <c r="AA26" s="108">
        <v>44</v>
      </c>
      <c r="AB26" s="108">
        <v>45</v>
      </c>
      <c r="AC26" s="108">
        <v>33</v>
      </c>
      <c r="AD26" s="108">
        <v>38</v>
      </c>
      <c r="AE26" s="108">
        <v>39</v>
      </c>
      <c r="AF26" s="108">
        <v>33</v>
      </c>
    </row>
    <row r="27" spans="2:32" x14ac:dyDescent="0.25">
      <c r="B27" s="82" t="s">
        <v>285</v>
      </c>
      <c r="C27" s="82" t="s">
        <v>337</v>
      </c>
      <c r="D27" s="82" t="s">
        <v>421</v>
      </c>
      <c r="E27" s="95">
        <f t="shared" si="1"/>
        <v>2437.5</v>
      </c>
      <c r="F27" s="106">
        <f t="shared" si="5"/>
        <v>562.5</v>
      </c>
      <c r="G27" s="106">
        <v>1875</v>
      </c>
      <c r="H27" s="110" t="s">
        <v>10</v>
      </c>
      <c r="I27" s="108">
        <v>32</v>
      </c>
      <c r="J27" s="108">
        <v>24</v>
      </c>
      <c r="K27" s="108">
        <v>45</v>
      </c>
      <c r="L27" s="108">
        <v>29</v>
      </c>
      <c r="M27" s="108">
        <v>32</v>
      </c>
      <c r="N27" s="108">
        <v>24</v>
      </c>
      <c r="O27" s="108">
        <v>44</v>
      </c>
      <c r="P27" s="108">
        <v>29</v>
      </c>
      <c r="Q27" s="118">
        <f t="shared" si="2"/>
        <v>0.3</v>
      </c>
      <c r="R27" s="78">
        <f t="shared" si="0"/>
        <v>562.5</v>
      </c>
      <c r="S27" s="85">
        <f t="shared" si="3"/>
        <v>0</v>
      </c>
      <c r="T27" s="82" t="s">
        <v>285</v>
      </c>
      <c r="U27" s="82" t="s">
        <v>337</v>
      </c>
      <c r="V27" s="82" t="s">
        <v>421</v>
      </c>
      <c r="W27" s="82">
        <v>2625</v>
      </c>
      <c r="X27" s="107">
        <f t="shared" si="4"/>
        <v>787.5</v>
      </c>
      <c r="Y27" s="110">
        <v>2625</v>
      </c>
      <c r="Z27" s="108" t="s">
        <v>10</v>
      </c>
      <c r="AA27" s="108">
        <v>46</v>
      </c>
      <c r="AB27" s="108">
        <v>48</v>
      </c>
      <c r="AC27" s="108">
        <v>33</v>
      </c>
      <c r="AD27" s="108">
        <v>38</v>
      </c>
      <c r="AE27" s="108">
        <v>44</v>
      </c>
      <c r="AF27" s="108">
        <v>33</v>
      </c>
    </row>
    <row r="28" spans="2:32" x14ac:dyDescent="0.25">
      <c r="B28" s="82" t="s">
        <v>286</v>
      </c>
      <c r="C28" s="82" t="s">
        <v>337</v>
      </c>
      <c r="D28" s="82" t="s">
        <v>421</v>
      </c>
      <c r="E28" s="95">
        <f t="shared" si="1"/>
        <v>2626</v>
      </c>
      <c r="F28" s="106">
        <f t="shared" si="5"/>
        <v>606</v>
      </c>
      <c r="G28" s="106">
        <v>2020</v>
      </c>
      <c r="H28" s="110" t="s">
        <v>10</v>
      </c>
      <c r="I28" s="108">
        <v>35</v>
      </c>
      <c r="J28" s="108">
        <v>25</v>
      </c>
      <c r="K28" s="108">
        <v>45</v>
      </c>
      <c r="L28" s="108">
        <v>27</v>
      </c>
      <c r="M28" s="108">
        <v>35</v>
      </c>
      <c r="N28" s="108">
        <v>25</v>
      </c>
      <c r="O28" s="108">
        <v>39</v>
      </c>
      <c r="P28" s="108">
        <v>27</v>
      </c>
      <c r="Q28" s="118">
        <f t="shared" si="2"/>
        <v>0.3</v>
      </c>
      <c r="R28" s="78">
        <f t="shared" si="0"/>
        <v>606</v>
      </c>
      <c r="S28" s="85">
        <f t="shared" si="3"/>
        <v>0</v>
      </c>
      <c r="T28" s="82" t="s">
        <v>286</v>
      </c>
      <c r="U28" s="82" t="s">
        <v>337</v>
      </c>
      <c r="V28" s="82" t="s">
        <v>424</v>
      </c>
      <c r="W28" s="82">
        <v>3015</v>
      </c>
      <c r="X28" s="107">
        <f t="shared" si="4"/>
        <v>904.5</v>
      </c>
      <c r="Y28" s="110">
        <v>3015</v>
      </c>
      <c r="Z28" s="108" t="s">
        <v>10</v>
      </c>
      <c r="AA28" s="108">
        <v>48</v>
      </c>
      <c r="AB28" s="108">
        <v>51</v>
      </c>
      <c r="AC28" s="108">
        <v>36</v>
      </c>
      <c r="AD28" s="108">
        <v>37</v>
      </c>
      <c r="AE28" s="108">
        <v>40</v>
      </c>
      <c r="AF28" s="108">
        <v>36</v>
      </c>
    </row>
    <row r="29" spans="2:32" x14ac:dyDescent="0.25">
      <c r="B29" s="82" t="s">
        <v>282</v>
      </c>
      <c r="C29" s="82" t="s">
        <v>338</v>
      </c>
      <c r="D29" s="82" t="s">
        <v>419</v>
      </c>
      <c r="E29" s="95">
        <f t="shared" si="1"/>
        <v>1397.5</v>
      </c>
      <c r="F29" s="106">
        <f t="shared" si="5"/>
        <v>322.5</v>
      </c>
      <c r="G29" s="106">
        <v>1075</v>
      </c>
      <c r="H29" s="110" t="s">
        <v>10</v>
      </c>
      <c r="I29" s="108">
        <v>31</v>
      </c>
      <c r="J29" s="108">
        <v>22</v>
      </c>
      <c r="K29" s="108">
        <v>43</v>
      </c>
      <c r="L29" s="108">
        <v>25</v>
      </c>
      <c r="M29" s="108">
        <v>31</v>
      </c>
      <c r="N29" s="108">
        <v>22</v>
      </c>
      <c r="O29" s="108">
        <v>42</v>
      </c>
      <c r="P29" s="108">
        <v>25</v>
      </c>
      <c r="Q29" s="118">
        <f t="shared" si="2"/>
        <v>0.3</v>
      </c>
      <c r="R29" s="78">
        <f t="shared" si="0"/>
        <v>322.5</v>
      </c>
      <c r="S29" s="85">
        <f t="shared" si="3"/>
        <v>0</v>
      </c>
      <c r="T29" s="82" t="s">
        <v>282</v>
      </c>
      <c r="U29" s="82" t="s">
        <v>338</v>
      </c>
      <c r="V29" s="82" t="s">
        <v>419</v>
      </c>
      <c r="W29" s="82">
        <v>1095</v>
      </c>
      <c r="X29" s="107">
        <f t="shared" si="4"/>
        <v>328.5</v>
      </c>
      <c r="Y29" s="110">
        <v>1095</v>
      </c>
      <c r="Z29" s="108" t="s">
        <v>10</v>
      </c>
      <c r="AA29" s="108">
        <v>38</v>
      </c>
      <c r="AB29" s="108">
        <v>39</v>
      </c>
      <c r="AC29" s="108">
        <v>26</v>
      </c>
      <c r="AD29" s="108">
        <v>33</v>
      </c>
      <c r="AE29" s="108">
        <v>37</v>
      </c>
      <c r="AF29" s="108">
        <v>26</v>
      </c>
    </row>
    <row r="30" spans="2:32" x14ac:dyDescent="0.25">
      <c r="B30" s="82" t="s">
        <v>283</v>
      </c>
      <c r="C30" s="82" t="s">
        <v>338</v>
      </c>
      <c r="D30" s="82" t="s">
        <v>420</v>
      </c>
      <c r="E30" s="95">
        <f t="shared" si="1"/>
        <v>1950</v>
      </c>
      <c r="F30" s="106">
        <f t="shared" si="5"/>
        <v>450</v>
      </c>
      <c r="G30" s="106">
        <v>1500</v>
      </c>
      <c r="H30" s="110" t="s">
        <v>10</v>
      </c>
      <c r="I30" s="108">
        <v>35</v>
      </c>
      <c r="J30" s="108">
        <v>24</v>
      </c>
      <c r="K30" s="108">
        <v>45</v>
      </c>
      <c r="L30" s="108">
        <v>27</v>
      </c>
      <c r="M30" s="108">
        <v>35</v>
      </c>
      <c r="N30" s="108">
        <v>24</v>
      </c>
      <c r="O30" s="108">
        <v>40</v>
      </c>
      <c r="P30" s="108">
        <v>27</v>
      </c>
      <c r="Q30" s="118">
        <f t="shared" si="2"/>
        <v>0.3</v>
      </c>
      <c r="R30" s="78">
        <f t="shared" si="0"/>
        <v>450</v>
      </c>
      <c r="S30" s="85">
        <f t="shared" si="3"/>
        <v>0</v>
      </c>
      <c r="T30" s="82" t="s">
        <v>283</v>
      </c>
      <c r="U30" s="82" t="s">
        <v>338</v>
      </c>
      <c r="V30" s="82" t="s">
        <v>420</v>
      </c>
      <c r="W30" s="82">
        <v>1495</v>
      </c>
      <c r="X30" s="107">
        <f t="shared" si="4"/>
        <v>448.5</v>
      </c>
      <c r="Y30" s="110">
        <v>1495</v>
      </c>
      <c r="Z30" s="108" t="s">
        <v>10</v>
      </c>
      <c r="AA30" s="108">
        <v>42</v>
      </c>
      <c r="AB30" s="108">
        <v>42</v>
      </c>
      <c r="AC30" s="108">
        <v>29</v>
      </c>
      <c r="AD30" s="108">
        <v>30</v>
      </c>
      <c r="AE30" s="108">
        <v>39</v>
      </c>
      <c r="AF30" s="108">
        <v>29</v>
      </c>
    </row>
    <row r="31" spans="2:32" x14ac:dyDescent="0.25">
      <c r="B31" s="82" t="s">
        <v>284</v>
      </c>
      <c r="C31" s="82" t="s">
        <v>338</v>
      </c>
      <c r="D31" s="82" t="s">
        <v>421</v>
      </c>
      <c r="E31" s="95">
        <f t="shared" si="1"/>
        <v>2385.5</v>
      </c>
      <c r="F31" s="106">
        <f t="shared" si="5"/>
        <v>550.5</v>
      </c>
      <c r="G31" s="106">
        <v>1835</v>
      </c>
      <c r="H31" s="110" t="s">
        <v>10</v>
      </c>
      <c r="I31" s="108">
        <v>36</v>
      </c>
      <c r="J31" s="108">
        <v>24</v>
      </c>
      <c r="K31" s="108">
        <v>47</v>
      </c>
      <c r="L31" s="108">
        <v>31</v>
      </c>
      <c r="M31" s="108">
        <v>36</v>
      </c>
      <c r="N31" s="108">
        <v>24</v>
      </c>
      <c r="O31" s="108">
        <v>44</v>
      </c>
      <c r="P31" s="108">
        <v>31</v>
      </c>
      <c r="Q31" s="118">
        <f t="shared" si="2"/>
        <v>0.3</v>
      </c>
      <c r="R31" s="78">
        <f t="shared" si="0"/>
        <v>550.5</v>
      </c>
      <c r="S31" s="85">
        <f t="shared" si="3"/>
        <v>0</v>
      </c>
      <c r="T31" s="82" t="s">
        <v>284</v>
      </c>
      <c r="U31" s="82" t="s">
        <v>338</v>
      </c>
      <c r="V31" s="82" t="s">
        <v>421</v>
      </c>
      <c r="W31" s="82">
        <v>2050</v>
      </c>
      <c r="X31" s="107">
        <f t="shared" si="4"/>
        <v>615</v>
      </c>
      <c r="Y31" s="110">
        <v>2050</v>
      </c>
      <c r="Z31" s="108" t="s">
        <v>10</v>
      </c>
      <c r="AA31" s="108">
        <v>45</v>
      </c>
      <c r="AB31" s="108">
        <v>46</v>
      </c>
      <c r="AC31" s="108">
        <v>35</v>
      </c>
      <c r="AD31" s="108">
        <v>38</v>
      </c>
      <c r="AE31" s="108">
        <v>39</v>
      </c>
      <c r="AF31" s="108">
        <v>35</v>
      </c>
    </row>
    <row r="32" spans="2:32" x14ac:dyDescent="0.25">
      <c r="B32" s="82" t="s">
        <v>285</v>
      </c>
      <c r="C32" s="82" t="s">
        <v>338</v>
      </c>
      <c r="D32" s="82" t="s">
        <v>421</v>
      </c>
      <c r="E32" s="95">
        <f t="shared" si="1"/>
        <v>2697.5</v>
      </c>
      <c r="F32" s="106">
        <f t="shared" si="5"/>
        <v>622.5</v>
      </c>
      <c r="G32" s="106">
        <v>2075</v>
      </c>
      <c r="H32" s="110" t="s">
        <v>10</v>
      </c>
      <c r="I32" s="108">
        <v>35</v>
      </c>
      <c r="J32" s="108">
        <v>25</v>
      </c>
      <c r="K32" s="108">
        <v>48</v>
      </c>
      <c r="L32" s="108">
        <v>30</v>
      </c>
      <c r="M32" s="108">
        <v>35</v>
      </c>
      <c r="N32" s="108">
        <v>25</v>
      </c>
      <c r="O32" s="108">
        <v>47</v>
      </c>
      <c r="P32" s="108">
        <v>30</v>
      </c>
      <c r="Q32" s="118">
        <f t="shared" si="2"/>
        <v>0.3</v>
      </c>
      <c r="R32" s="78">
        <f t="shared" si="0"/>
        <v>622.5</v>
      </c>
      <c r="S32" s="85">
        <f t="shared" si="3"/>
        <v>0</v>
      </c>
      <c r="T32" s="82" t="s">
        <v>285</v>
      </c>
      <c r="U32" s="82" t="s">
        <v>338</v>
      </c>
      <c r="V32" s="82" t="s">
        <v>421</v>
      </c>
      <c r="W32" s="82">
        <v>2495</v>
      </c>
      <c r="X32" s="107">
        <f t="shared" si="4"/>
        <v>748.5</v>
      </c>
      <c r="Y32" s="110">
        <v>2495</v>
      </c>
      <c r="Z32" s="108" t="s">
        <v>10</v>
      </c>
      <c r="AA32" s="108">
        <v>44</v>
      </c>
      <c r="AB32" s="108">
        <v>47</v>
      </c>
      <c r="AC32" s="108">
        <v>30</v>
      </c>
      <c r="AD32" s="108">
        <v>34</v>
      </c>
      <c r="AE32" s="108">
        <v>43</v>
      </c>
      <c r="AF32" s="108">
        <v>30</v>
      </c>
    </row>
    <row r="34" spans="2:2" x14ac:dyDescent="0.25">
      <c r="B34" s="119" t="s">
        <v>409</v>
      </c>
    </row>
    <row r="35" spans="2:2" x14ac:dyDescent="0.25">
      <c r="B35" s="119" t="s">
        <v>410</v>
      </c>
    </row>
    <row r="36" spans="2:2" x14ac:dyDescent="0.25">
      <c r="B36" s="119" t="s">
        <v>411</v>
      </c>
    </row>
    <row r="37" spans="2:2" x14ac:dyDescent="0.25">
      <c r="B37" s="119" t="s">
        <v>412</v>
      </c>
    </row>
    <row r="38" spans="2:2" x14ac:dyDescent="0.25">
      <c r="B38" s="119" t="s">
        <v>413</v>
      </c>
    </row>
    <row r="39" spans="2:2" x14ac:dyDescent="0.25">
      <c r="B39" s="119" t="s">
        <v>414</v>
      </c>
    </row>
    <row r="40" spans="2:2" x14ac:dyDescent="0.25">
      <c r="B40" s="119" t="s">
        <v>415</v>
      </c>
    </row>
    <row r="41" spans="2:2" x14ac:dyDescent="0.25">
      <c r="B41" s="119" t="s">
        <v>422</v>
      </c>
    </row>
  </sheetData>
  <mergeCells count="4">
    <mergeCell ref="AA1:AC1"/>
    <mergeCell ref="AD1:AF1"/>
    <mergeCell ref="I1:L1"/>
    <mergeCell ref="M1:P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D85"/>
  <sheetViews>
    <sheetView workbookViewId="0">
      <selection activeCell="G20" sqref="G20"/>
    </sheetView>
  </sheetViews>
  <sheetFormatPr defaultRowHeight="15" x14ac:dyDescent="0.25"/>
  <cols>
    <col min="2" max="2" width="15.85546875" bestFit="1" customWidth="1"/>
    <col min="3" max="3" width="5.140625" bestFit="1" customWidth="1"/>
    <col min="4" max="4" width="8" bestFit="1" customWidth="1"/>
    <col min="5" max="5" width="10.85546875" bestFit="1" customWidth="1"/>
    <col min="6" max="9" width="6.7109375" customWidth="1"/>
    <col min="10" max="10" width="12.140625" bestFit="1" customWidth="1"/>
    <col min="11" max="11" width="14.85546875" bestFit="1" customWidth="1"/>
    <col min="12" max="12" width="12.140625" bestFit="1" customWidth="1"/>
    <col min="28" max="28" width="9.5703125" customWidth="1"/>
    <col min="36" max="36" width="10.85546875" bestFit="1" customWidth="1"/>
    <col min="44" max="44" width="10.85546875" bestFit="1" customWidth="1"/>
    <col min="47" max="47" width="10.85546875" bestFit="1" customWidth="1"/>
    <col min="52" max="52" width="10.85546875" bestFit="1" customWidth="1"/>
    <col min="55" max="55" width="10.85546875" bestFit="1" customWidth="1"/>
  </cols>
  <sheetData>
    <row r="1" spans="2:56" x14ac:dyDescent="0.25">
      <c r="C1" s="145" t="s">
        <v>11</v>
      </c>
      <c r="D1" s="145"/>
      <c r="E1" s="145"/>
      <c r="F1" s="145" t="s">
        <v>93</v>
      </c>
      <c r="G1" s="145"/>
      <c r="H1" s="145" t="s">
        <v>94</v>
      </c>
      <c r="I1" s="145"/>
      <c r="J1" s="145" t="s">
        <v>32</v>
      </c>
      <c r="K1" s="145"/>
      <c r="L1" s="145"/>
      <c r="M1" s="145" t="s">
        <v>19</v>
      </c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2" t="s">
        <v>43</v>
      </c>
      <c r="Z1" s="143"/>
      <c r="AA1" s="143"/>
      <c r="AB1" s="143"/>
      <c r="AC1" s="143"/>
      <c r="AD1" s="143"/>
      <c r="AE1" s="143"/>
      <c r="AF1" s="144"/>
      <c r="AG1" s="142" t="s">
        <v>44</v>
      </c>
      <c r="AH1" s="143"/>
      <c r="AI1" s="143"/>
      <c r="AJ1" s="143"/>
      <c r="AK1" s="143"/>
      <c r="AL1" s="143"/>
      <c r="AM1" s="143"/>
      <c r="AN1" s="143"/>
      <c r="AO1" s="142" t="s">
        <v>45</v>
      </c>
      <c r="AP1" s="143"/>
      <c r="AQ1" s="143"/>
      <c r="AR1" s="143"/>
      <c r="AS1" s="143"/>
      <c r="AT1" s="143"/>
      <c r="AU1" s="143"/>
      <c r="AV1" s="144"/>
      <c r="AW1" s="142" t="s">
        <v>47</v>
      </c>
      <c r="AX1" s="143"/>
      <c r="AY1" s="143"/>
      <c r="AZ1" s="143"/>
      <c r="BA1" s="143"/>
      <c r="BB1" s="143"/>
      <c r="BC1" s="143"/>
      <c r="BD1" s="144"/>
    </row>
    <row r="2" spans="2:56" x14ac:dyDescent="0.25">
      <c r="B2" t="s">
        <v>54</v>
      </c>
      <c r="C2" t="s">
        <v>15</v>
      </c>
      <c r="D2" t="s">
        <v>16</v>
      </c>
      <c r="E2" t="s">
        <v>17</v>
      </c>
      <c r="F2" s="2">
        <v>0.5</v>
      </c>
      <c r="G2" s="2">
        <v>0.8</v>
      </c>
      <c r="H2" s="2">
        <v>0.5</v>
      </c>
      <c r="I2" s="2">
        <v>0.8</v>
      </c>
      <c r="J2" s="77" t="s">
        <v>12</v>
      </c>
      <c r="K2" s="77" t="s">
        <v>13</v>
      </c>
      <c r="L2" s="77" t="s">
        <v>14</v>
      </c>
      <c r="M2" t="s">
        <v>18</v>
      </c>
      <c r="N2" t="s">
        <v>12</v>
      </c>
      <c r="O2" t="s">
        <v>13</v>
      </c>
      <c r="P2" t="s">
        <v>18</v>
      </c>
      <c r="Q2" t="s">
        <v>12</v>
      </c>
      <c r="R2" t="s">
        <v>13</v>
      </c>
      <c r="S2" t="s">
        <v>18</v>
      </c>
      <c r="T2" t="s">
        <v>12</v>
      </c>
      <c r="U2" t="s">
        <v>13</v>
      </c>
      <c r="V2" t="s">
        <v>18</v>
      </c>
      <c r="W2" t="s">
        <v>12</v>
      </c>
      <c r="X2" t="s">
        <v>13</v>
      </c>
      <c r="Y2" s="6" t="s">
        <v>22</v>
      </c>
      <c r="Z2" s="7" t="s">
        <v>42</v>
      </c>
      <c r="AA2" s="7" t="s">
        <v>18</v>
      </c>
      <c r="AB2" s="7" t="s">
        <v>21</v>
      </c>
      <c r="AC2" s="7" t="s">
        <v>20</v>
      </c>
      <c r="AD2" s="7" t="s">
        <v>18</v>
      </c>
      <c r="AE2" s="7" t="s">
        <v>21</v>
      </c>
      <c r="AF2" s="8" t="s">
        <v>20</v>
      </c>
      <c r="AG2" s="6" t="s">
        <v>22</v>
      </c>
      <c r="AH2" s="7" t="s">
        <v>42</v>
      </c>
      <c r="AI2" s="7" t="s">
        <v>18</v>
      </c>
      <c r="AJ2" s="7" t="s">
        <v>21</v>
      </c>
      <c r="AK2" s="7" t="s">
        <v>20</v>
      </c>
      <c r="AL2" s="7" t="s">
        <v>18</v>
      </c>
      <c r="AM2" s="7" t="s">
        <v>21</v>
      </c>
      <c r="AN2" s="7" t="s">
        <v>20</v>
      </c>
      <c r="AO2" s="6" t="s">
        <v>22</v>
      </c>
      <c r="AP2" s="7" t="s">
        <v>42</v>
      </c>
      <c r="AQ2" s="7" t="s">
        <v>18</v>
      </c>
      <c r="AR2" s="7" t="s">
        <v>21</v>
      </c>
      <c r="AS2" s="7" t="s">
        <v>20</v>
      </c>
      <c r="AT2" s="7" t="s">
        <v>18</v>
      </c>
      <c r="AU2" s="7" t="s">
        <v>21</v>
      </c>
      <c r="AV2" s="8" t="s">
        <v>20</v>
      </c>
      <c r="AW2" s="6" t="s">
        <v>22</v>
      </c>
      <c r="AX2" s="7" t="s">
        <v>42</v>
      </c>
      <c r="AY2" s="7" t="s">
        <v>18</v>
      </c>
      <c r="AZ2" s="7" t="s">
        <v>21</v>
      </c>
      <c r="BA2" s="7" t="s">
        <v>20</v>
      </c>
      <c r="BB2" s="7" t="s">
        <v>18</v>
      </c>
      <c r="BC2" s="7" t="s">
        <v>21</v>
      </c>
      <c r="BD2" s="8" t="s">
        <v>20</v>
      </c>
    </row>
    <row r="3" spans="2:56" x14ac:dyDescent="0.25">
      <c r="B3" t="s">
        <v>77</v>
      </c>
      <c r="C3">
        <v>225</v>
      </c>
      <c r="D3">
        <v>25</v>
      </c>
      <c r="E3">
        <v>38</v>
      </c>
      <c r="F3" s="246" t="s">
        <v>521</v>
      </c>
      <c r="G3" s="246">
        <v>15</v>
      </c>
      <c r="H3" s="247">
        <v>18</v>
      </c>
      <c r="I3" s="246">
        <v>26</v>
      </c>
      <c r="J3" t="s">
        <v>34</v>
      </c>
      <c r="K3" t="s">
        <v>33</v>
      </c>
      <c r="L3" s="249" t="s">
        <v>529</v>
      </c>
      <c r="M3">
        <v>112</v>
      </c>
      <c r="N3">
        <v>0.01</v>
      </c>
      <c r="O3">
        <v>0.01</v>
      </c>
      <c r="P3">
        <v>180</v>
      </c>
      <c r="Q3">
        <v>0.01</v>
      </c>
      <c r="R3">
        <v>0.01</v>
      </c>
      <c r="S3">
        <v>112</v>
      </c>
      <c r="T3">
        <v>0.5</v>
      </c>
      <c r="U3">
        <v>14</v>
      </c>
      <c r="V3">
        <v>180</v>
      </c>
      <c r="W3">
        <v>1</v>
      </c>
      <c r="X3">
        <v>18</v>
      </c>
      <c r="Y3" s="74" t="str">
        <f>'VCWF Data'!O3</f>
        <v>0.5-2.5</v>
      </c>
      <c r="Z3" s="75" t="str">
        <f>'VCWF Data'!P3</f>
        <v>0.5-8.29</v>
      </c>
      <c r="AA3" s="75">
        <f>'VCWF Data'!Q3</f>
        <v>112</v>
      </c>
      <c r="AB3" s="75" t="str">
        <f>'VCWF Data'!R3</f>
        <v>6.46-7.72</v>
      </c>
      <c r="AC3" s="75">
        <f>'VCWF Data'!S3</f>
        <v>0.03</v>
      </c>
      <c r="AD3" s="75">
        <f>'VCWF Data'!T3</f>
        <v>180</v>
      </c>
      <c r="AE3" s="75" t="str">
        <f>'VCWF Data'!U3</f>
        <v>7.88-9.9</v>
      </c>
      <c r="AF3" s="76">
        <f>'VCWF Data'!V3</f>
        <v>0.05</v>
      </c>
      <c r="AG3" s="74" t="str">
        <f>'VCWF Data'!O15</f>
        <v>0.5-2.5</v>
      </c>
      <c r="AH3" s="75" t="str">
        <f>'VCWF Data'!P15</f>
        <v>0.17-3</v>
      </c>
      <c r="AI3" s="75">
        <f>'VCWF Data'!Q15</f>
        <v>112</v>
      </c>
      <c r="AJ3" s="75" t="str">
        <f>'VCWF Data'!R15</f>
        <v>9.07-11.17</v>
      </c>
      <c r="AK3" s="75">
        <f>'VCWF Data'!S15</f>
        <v>0.05</v>
      </c>
      <c r="AL3" s="75">
        <f>'VCWF Data'!T15</f>
        <v>180</v>
      </c>
      <c r="AM3" s="75" t="str">
        <f>'VCWF Data'!U15</f>
        <v>11.46-15.61</v>
      </c>
      <c r="AN3" s="75">
        <f>'VCWF Data'!V15</f>
        <v>0.09</v>
      </c>
      <c r="AO3" s="74" t="str">
        <f>'VCWF Data'!O27</f>
        <v>0.5-2.5</v>
      </c>
      <c r="AP3" s="75" t="str">
        <f>'VCWF Data'!P27</f>
        <v>0.25-4.3</v>
      </c>
      <c r="AQ3" s="75">
        <f>'VCWF Data'!Q27</f>
        <v>112</v>
      </c>
      <c r="AR3" s="75" t="str">
        <f>'VCWF Data'!R27</f>
        <v>10.96-13.07</v>
      </c>
      <c r="AS3" s="75">
        <f>'VCWF Data'!S27</f>
        <v>7.0000000000000007E-2</v>
      </c>
      <c r="AT3" s="75">
        <f>'VCWF Data'!T27</f>
        <v>180</v>
      </c>
      <c r="AU3" s="75" t="str">
        <f>'VCWF Data'!U27</f>
        <v>14.14-18.97</v>
      </c>
      <c r="AV3" s="76">
        <f>'VCWF Data'!V27</f>
        <v>0.13</v>
      </c>
      <c r="AW3" s="74" t="str">
        <f>'VCWF Data'!O39</f>
        <v>0.5-2.5</v>
      </c>
      <c r="AX3" s="75" t="str">
        <f>'VCWF Data'!P39</f>
        <v>0.34-5.61</v>
      </c>
      <c r="AY3" s="75">
        <f>'VCWF Data'!Q39</f>
        <v>112</v>
      </c>
      <c r="AZ3" s="75" t="str">
        <f>'VCWF Data'!R39</f>
        <v>12.18-14.1</v>
      </c>
      <c r="BA3" s="75">
        <f>'VCWF Data'!S39</f>
        <v>0.09</v>
      </c>
      <c r="BB3" s="75">
        <f>'VCWF Data'!T39</f>
        <v>180</v>
      </c>
      <c r="BC3" s="75" t="str">
        <f>'VCWF Data'!U39</f>
        <v>16.01-21.01</v>
      </c>
      <c r="BD3" s="76">
        <f>'VCWF Data'!V39</f>
        <v>0.17</v>
      </c>
    </row>
    <row r="4" spans="2:56" x14ac:dyDescent="0.25">
      <c r="B4" t="s">
        <v>78</v>
      </c>
      <c r="C4">
        <v>350</v>
      </c>
      <c r="D4">
        <v>40</v>
      </c>
      <c r="E4">
        <v>63</v>
      </c>
      <c r="F4" s="246" t="s">
        <v>521</v>
      </c>
      <c r="G4" s="246" t="s">
        <v>521</v>
      </c>
      <c r="H4" s="248">
        <v>17</v>
      </c>
      <c r="I4" s="246">
        <v>26</v>
      </c>
      <c r="J4" t="s">
        <v>34</v>
      </c>
      <c r="K4" t="s">
        <v>33</v>
      </c>
      <c r="L4" s="249" t="s">
        <v>529</v>
      </c>
      <c r="M4">
        <v>175</v>
      </c>
      <c r="N4">
        <v>0.01</v>
      </c>
      <c r="O4">
        <v>0.01</v>
      </c>
      <c r="P4">
        <v>280</v>
      </c>
      <c r="Q4">
        <v>0.01</v>
      </c>
      <c r="R4">
        <v>0.02</v>
      </c>
      <c r="S4">
        <v>175</v>
      </c>
      <c r="T4">
        <v>1.5</v>
      </c>
      <c r="U4">
        <v>27</v>
      </c>
      <c r="V4">
        <v>280</v>
      </c>
      <c r="W4">
        <v>2.5</v>
      </c>
      <c r="X4">
        <v>28</v>
      </c>
      <c r="Y4" s="74" t="str">
        <f>'VCWF Data'!O4</f>
        <v>0.5-2.5</v>
      </c>
      <c r="Z4" s="75" t="str">
        <f>'VCWF Data'!P4</f>
        <v>0.5-8.3</v>
      </c>
      <c r="AA4" s="75">
        <f>'VCWF Data'!Q4</f>
        <v>175</v>
      </c>
      <c r="AB4" s="75" t="str">
        <f>'VCWF Data'!R4</f>
        <v>7.79-9.75</v>
      </c>
      <c r="AC4" s="75">
        <f>'VCWF Data'!S4</f>
        <v>0.05</v>
      </c>
      <c r="AD4" s="75">
        <f>'VCWF Data'!T4</f>
        <v>280</v>
      </c>
      <c r="AE4" s="75" t="str">
        <f>'VCWF Data'!U4</f>
        <v>9.43-12.52</v>
      </c>
      <c r="AF4" s="76">
        <f>'VCWF Data'!V4</f>
        <v>0.09</v>
      </c>
      <c r="AG4" s="74" t="str">
        <f>'VCWF Data'!O16</f>
        <v>0.5-2.5</v>
      </c>
      <c r="AH4" s="75" t="str">
        <f>'VCWF Data'!P16</f>
        <v>0.17-3</v>
      </c>
      <c r="AI4" s="75">
        <f>'VCWF Data'!Q16</f>
        <v>175</v>
      </c>
      <c r="AJ4" s="75" t="str">
        <f>'VCWF Data'!R16</f>
        <v>11.32-15.32</v>
      </c>
      <c r="AK4" s="75">
        <f>'VCWF Data'!S16</f>
        <v>0.09</v>
      </c>
      <c r="AL4" s="75">
        <f>'VCWF Data'!T16</f>
        <v>280</v>
      </c>
      <c r="AM4" s="75" t="str">
        <f>'VCWF Data'!U16</f>
        <v>13.5-20.43</v>
      </c>
      <c r="AN4" s="75">
        <f>'VCWF Data'!V16</f>
        <v>0.18</v>
      </c>
      <c r="AO4" s="74" t="str">
        <f>'VCWF Data'!O28</f>
        <v>0.5-2.5</v>
      </c>
      <c r="AP4" s="75" t="str">
        <f>'VCWF Data'!P28</f>
        <v>0.26-4.31</v>
      </c>
      <c r="AQ4" s="75">
        <f>'VCWF Data'!Q28</f>
        <v>175</v>
      </c>
      <c r="AR4" s="75" t="str">
        <f>'VCWF Data'!R28</f>
        <v>13.95-18.58</v>
      </c>
      <c r="AS4" s="75">
        <f>'VCWF Data'!S28</f>
        <v>0.13</v>
      </c>
      <c r="AT4" s="75">
        <f>'VCWF Data'!T28</f>
        <v>280</v>
      </c>
      <c r="AU4" s="75" t="str">
        <f>'VCWF Data'!U28</f>
        <v>16.79-25.67</v>
      </c>
      <c r="AV4" s="76">
        <f>'VCWF Data'!V28</f>
        <v>0.26</v>
      </c>
      <c r="AW4" s="74" t="str">
        <f>'VCWF Data'!O40</f>
        <v>0.5-2.5</v>
      </c>
      <c r="AX4" s="75" t="str">
        <f>'VCWF Data'!P40</f>
        <v>0.34-5.63</v>
      </c>
      <c r="AY4" s="75">
        <f>'VCWF Data'!Q40</f>
        <v>175</v>
      </c>
      <c r="AZ4" s="75" t="str">
        <f>'VCWF Data'!R40</f>
        <v>15.79-20.54</v>
      </c>
      <c r="BA4" s="75">
        <f>'VCWF Data'!S40</f>
        <v>0.17</v>
      </c>
      <c r="BB4" s="75">
        <f>'VCWF Data'!T40</f>
        <v>280</v>
      </c>
      <c r="BC4" s="75" t="str">
        <f>'VCWF Data'!U40</f>
        <v>19.14-29.24</v>
      </c>
      <c r="BD4" s="76">
        <f>'VCWF Data'!V40</f>
        <v>0.35</v>
      </c>
    </row>
    <row r="5" spans="2:56" x14ac:dyDescent="0.25">
      <c r="B5" t="s">
        <v>79</v>
      </c>
      <c r="C5">
        <v>500</v>
      </c>
      <c r="D5">
        <v>60</v>
      </c>
      <c r="E5">
        <v>73</v>
      </c>
      <c r="F5" s="246" t="s">
        <v>521</v>
      </c>
      <c r="G5" s="246" t="s">
        <v>521</v>
      </c>
      <c r="H5" s="248">
        <v>17</v>
      </c>
      <c r="I5" s="246">
        <v>21</v>
      </c>
      <c r="J5" t="s">
        <v>35</v>
      </c>
      <c r="K5" t="s">
        <v>26</v>
      </c>
      <c r="L5" s="249" t="s">
        <v>522</v>
      </c>
      <c r="M5">
        <v>250</v>
      </c>
      <c r="N5">
        <v>0.05</v>
      </c>
      <c r="O5">
        <v>0.05</v>
      </c>
      <c r="P5">
        <v>400</v>
      </c>
      <c r="Q5">
        <v>0.14000000000000001</v>
      </c>
      <c r="R5">
        <v>0.14000000000000001</v>
      </c>
      <c r="S5">
        <v>250</v>
      </c>
      <c r="T5">
        <v>3</v>
      </c>
      <c r="U5">
        <v>38</v>
      </c>
      <c r="V5">
        <v>400</v>
      </c>
      <c r="W5">
        <v>4</v>
      </c>
      <c r="X5">
        <v>31</v>
      </c>
      <c r="Y5" s="74" t="str">
        <f>'VCWF Data'!O5</f>
        <v>0.5-2.5</v>
      </c>
      <c r="Z5" s="75" t="str">
        <f>'VCWF Data'!P5</f>
        <v>0.5-8.32</v>
      </c>
      <c r="AA5" s="75">
        <f>'VCWF Data'!Q5</f>
        <v>250</v>
      </c>
      <c r="AB5" s="75" t="str">
        <f>'VCWF Data'!R5</f>
        <v>9.01-11.78</v>
      </c>
      <c r="AC5" s="75">
        <f>'VCWF Data'!S5</f>
        <v>0.12</v>
      </c>
      <c r="AD5" s="75">
        <f>'VCWF Data'!T5</f>
        <v>400</v>
      </c>
      <c r="AE5" s="75" t="str">
        <f>'VCWF Data'!U5</f>
        <v>10.85-15.19</v>
      </c>
      <c r="AF5" s="76">
        <f>'VCWF Data'!V5</f>
        <v>0.28000000000000003</v>
      </c>
      <c r="AG5" s="74" t="str">
        <f>'VCWF Data'!O17</f>
        <v>0.5-2.5</v>
      </c>
      <c r="AH5" s="75" t="str">
        <f>'VCWF Data'!P17</f>
        <v>0.18-3.01</v>
      </c>
      <c r="AI5" s="75">
        <f>'VCWF Data'!Q17</f>
        <v>250</v>
      </c>
      <c r="AJ5" s="75" t="str">
        <f>'VCWF Data'!R17</f>
        <v>13-19.15</v>
      </c>
      <c r="AK5" s="75">
        <f>'VCWF Data'!S17</f>
        <v>0.19</v>
      </c>
      <c r="AL5" s="75">
        <f>'VCWF Data'!T17</f>
        <v>400</v>
      </c>
      <c r="AM5" s="75" t="str">
        <f>'VCWF Data'!U17</f>
        <v>14.91-24.62</v>
      </c>
      <c r="AN5" s="75">
        <f>'VCWF Data'!V17</f>
        <v>0.43</v>
      </c>
      <c r="AO5" s="74" t="str">
        <f>'VCWF Data'!O29</f>
        <v>1-2.5</v>
      </c>
      <c r="AP5" s="75" t="str">
        <f>'VCWF Data'!P29</f>
        <v>0.86-4.33</v>
      </c>
      <c r="AQ5" s="75">
        <f>'VCWF Data'!Q29</f>
        <v>250</v>
      </c>
      <c r="AR5" s="75" t="str">
        <f>'VCWF Data'!R29</f>
        <v>20.6-23.86</v>
      </c>
      <c r="AS5" s="75">
        <f>'VCWF Data'!S29</f>
        <v>0.26</v>
      </c>
      <c r="AT5" s="75">
        <f>'VCWF Data'!T29</f>
        <v>400</v>
      </c>
      <c r="AU5" s="75" t="str">
        <f>'VCWF Data'!U29</f>
        <v>25.57-31.65</v>
      </c>
      <c r="AV5" s="76">
        <f>'VCWF Data'!V29</f>
        <v>0.57999999999999996</v>
      </c>
      <c r="AW5" s="74" t="str">
        <f>'VCWF Data'!O41</f>
        <v>1-2.5</v>
      </c>
      <c r="AX5" s="75" t="str">
        <f>'VCWF Data'!P41</f>
        <v>1.13-5.64</v>
      </c>
      <c r="AY5" s="75">
        <f>'VCWF Data'!Q41</f>
        <v>250</v>
      </c>
      <c r="AZ5" s="75" t="str">
        <f>'VCWF Data'!R41</f>
        <v>23.54-26.99</v>
      </c>
      <c r="BA5" s="75">
        <f>'VCWF Data'!S41</f>
        <v>0.33</v>
      </c>
      <c r="BB5" s="75">
        <f>'VCWF Data'!T41</f>
        <v>400</v>
      </c>
      <c r="BC5" s="75" t="str">
        <f>'VCWF Data'!U41</f>
        <v>29.65-36.78</v>
      </c>
      <c r="BD5" s="76">
        <f>'VCWF Data'!V41</f>
        <v>0.73</v>
      </c>
    </row>
    <row r="6" spans="2:56" x14ac:dyDescent="0.25">
      <c r="B6" t="s">
        <v>80</v>
      </c>
      <c r="C6">
        <v>900</v>
      </c>
      <c r="D6">
        <v>105</v>
      </c>
      <c r="E6">
        <v>134</v>
      </c>
      <c r="F6" s="246" t="s">
        <v>521</v>
      </c>
      <c r="G6" s="246">
        <v>19</v>
      </c>
      <c r="H6" s="248">
        <v>19</v>
      </c>
      <c r="I6" s="246">
        <v>24</v>
      </c>
      <c r="J6" t="s">
        <v>36</v>
      </c>
      <c r="K6" t="s">
        <v>26</v>
      </c>
      <c r="L6" s="249" t="s">
        <v>523</v>
      </c>
      <c r="M6">
        <v>450</v>
      </c>
      <c r="N6">
        <v>0.02</v>
      </c>
      <c r="O6">
        <v>0.03</v>
      </c>
      <c r="P6">
        <v>720</v>
      </c>
      <c r="Q6">
        <v>0.05</v>
      </c>
      <c r="R6">
        <v>7.0000000000000007E-2</v>
      </c>
      <c r="S6">
        <v>450</v>
      </c>
      <c r="T6">
        <v>6</v>
      </c>
      <c r="U6">
        <v>42</v>
      </c>
      <c r="V6">
        <v>720</v>
      </c>
      <c r="W6">
        <v>7</v>
      </c>
      <c r="X6">
        <v>31</v>
      </c>
      <c r="Y6" s="74" t="str">
        <f>'VCWF Data'!O6</f>
        <v>0.6-2.5</v>
      </c>
      <c r="Z6" s="75" t="str">
        <f>'VCWF Data'!P6</f>
        <v>0.92-11.08</v>
      </c>
      <c r="AA6" s="75">
        <f>'VCWF Data'!Q6</f>
        <v>450</v>
      </c>
      <c r="AB6" s="75" t="str">
        <f>'VCWF Data'!R6</f>
        <v>13.79-18.4</v>
      </c>
      <c r="AC6" s="75">
        <f>'VCWF Data'!S6</f>
        <v>0.13</v>
      </c>
      <c r="AD6" s="75">
        <f>'VCWF Data'!T6</f>
        <v>720</v>
      </c>
      <c r="AE6" s="75" t="str">
        <f>'VCWF Data'!U6</f>
        <v>16.4-23.63</v>
      </c>
      <c r="AF6" s="76">
        <f>'VCWF Data'!V6</f>
        <v>0.28000000000000003</v>
      </c>
      <c r="AG6" s="74" t="str">
        <f>'VCWF Data'!O18</f>
        <v>0.6-2.5</v>
      </c>
      <c r="AH6" s="75" t="str">
        <f>'VCWF Data'!P18</f>
        <v>0.04-0.47</v>
      </c>
      <c r="AI6" s="75">
        <f>'VCWF Data'!Q18</f>
        <v>450</v>
      </c>
      <c r="AJ6" s="75" t="str">
        <f>'VCWF Data'!R18</f>
        <v>14.44-27.26</v>
      </c>
      <c r="AK6" s="75">
        <f>'VCWF Data'!S18</f>
        <v>0.24</v>
      </c>
      <c r="AL6" s="75">
        <f>'VCWF Data'!T18</f>
        <v>720</v>
      </c>
      <c r="AM6" s="75" t="str">
        <f>'VCWF Data'!U18</f>
        <v>15.61-33.01</v>
      </c>
      <c r="AN6" s="75">
        <f>'VCWF Data'!V18</f>
        <v>0.51</v>
      </c>
      <c r="AO6" s="74" t="str">
        <f>'VCWF Data'!O30</f>
        <v>2.5-12</v>
      </c>
      <c r="AP6" s="75" t="str">
        <f>'VCWF Data'!P30</f>
        <v>0.54-9.62</v>
      </c>
      <c r="AQ6" s="75">
        <f>'VCWF Data'!Q30</f>
        <v>450</v>
      </c>
      <c r="AR6" s="75" t="str">
        <f>'VCWF Data'!R30</f>
        <v>35-41.89</v>
      </c>
      <c r="AS6" s="75">
        <f>'VCWF Data'!S30</f>
        <v>0.35</v>
      </c>
      <c r="AT6" s="75">
        <f>'VCWF Data'!T30</f>
        <v>720</v>
      </c>
      <c r="AU6" s="75" t="str">
        <f>'VCWF Data'!U30</f>
        <v>43.34-55.78</v>
      </c>
      <c r="AV6" s="76">
        <f>'VCWF Data'!V30</f>
        <v>0.74</v>
      </c>
      <c r="AW6" s="74" t="str">
        <f>'VCWF Data'!O42</f>
        <v>2.5-12</v>
      </c>
      <c r="AX6" s="75" t="str">
        <f>'VCWF Data'!P42</f>
        <v>0.68-11.78</v>
      </c>
      <c r="AY6" s="75">
        <f>'VCWF Data'!Q42</f>
        <v>450</v>
      </c>
      <c r="AZ6" s="75" t="str">
        <f>'VCWF Data'!R42</f>
        <v>40.68-47.88</v>
      </c>
      <c r="BA6" s="75">
        <f>'VCWF Data'!S42</f>
        <v>0.46</v>
      </c>
      <c r="BB6" s="75">
        <f>'VCWF Data'!T42</f>
        <v>720</v>
      </c>
      <c r="BC6" s="75" t="str">
        <f>'VCWF Data'!U42</f>
        <v>51.36-65.71</v>
      </c>
      <c r="BD6" s="76">
        <f>'VCWF Data'!V42</f>
        <v>0.98</v>
      </c>
    </row>
    <row r="7" spans="2:56" x14ac:dyDescent="0.25">
      <c r="B7" t="s">
        <v>81</v>
      </c>
      <c r="C7">
        <v>1400</v>
      </c>
      <c r="D7">
        <v>165</v>
      </c>
      <c r="E7">
        <v>215</v>
      </c>
      <c r="F7" s="246" t="s">
        <v>521</v>
      </c>
      <c r="G7" s="246">
        <v>20</v>
      </c>
      <c r="H7" s="246" t="s">
        <v>521</v>
      </c>
      <c r="I7" s="246">
        <v>20</v>
      </c>
      <c r="J7" t="s">
        <v>37</v>
      </c>
      <c r="K7" t="s">
        <v>27</v>
      </c>
      <c r="L7" s="249" t="s">
        <v>524</v>
      </c>
      <c r="M7">
        <v>700</v>
      </c>
      <c r="N7">
        <v>0.01</v>
      </c>
      <c r="O7">
        <v>0.01</v>
      </c>
      <c r="P7">
        <v>1120</v>
      </c>
      <c r="Q7">
        <v>0.01</v>
      </c>
      <c r="R7">
        <v>0.04</v>
      </c>
      <c r="S7">
        <v>700</v>
      </c>
      <c r="T7">
        <v>8</v>
      </c>
      <c r="U7">
        <v>36</v>
      </c>
      <c r="V7">
        <v>1120</v>
      </c>
      <c r="W7">
        <v>11</v>
      </c>
      <c r="X7">
        <v>31</v>
      </c>
      <c r="Y7" s="74" t="str">
        <f>'VCWF Data'!O7</f>
        <v>0.9-2.5</v>
      </c>
      <c r="Z7" s="75" t="str">
        <f>'VCWF Data'!P7</f>
        <v>2.57-15.29</v>
      </c>
      <c r="AA7" s="75">
        <f>'VCWF Data'!Q7</f>
        <v>700</v>
      </c>
      <c r="AB7" s="75" t="str">
        <f>'VCWF Data'!R7</f>
        <v>22.06-27.43</v>
      </c>
      <c r="AC7" s="75">
        <f>'VCWF Data'!S7</f>
        <v>0.12</v>
      </c>
      <c r="AD7" s="75">
        <f>'VCWF Data'!T7</f>
        <v>1120</v>
      </c>
      <c r="AE7" s="75" t="str">
        <f>'VCWF Data'!U7</f>
        <v>26.44-34.85</v>
      </c>
      <c r="AF7" s="76">
        <f>'VCWF Data'!V7</f>
        <v>0.24</v>
      </c>
      <c r="AG7" s="74" t="str">
        <f>'VCWF Data'!O19</f>
        <v>0.9-2.5</v>
      </c>
      <c r="AH7" s="75" t="str">
        <f>'VCWF Data'!P19</f>
        <v>0.15-0.98</v>
      </c>
      <c r="AI7" s="75">
        <f>'VCWF Data'!Q19</f>
        <v>700</v>
      </c>
      <c r="AJ7" s="75" t="str">
        <f>'VCWF Data'!R19</f>
        <v>27.53-41.28</v>
      </c>
      <c r="AK7" s="75">
        <f>'VCWF Data'!S19</f>
        <v>0.23</v>
      </c>
      <c r="AL7" s="75">
        <f>'VCWF Data'!T19</f>
        <v>1120</v>
      </c>
      <c r="AM7" s="75" t="str">
        <f>'VCWF Data'!U19</f>
        <v>30.37-49.52</v>
      </c>
      <c r="AN7" s="75">
        <f>'VCWF Data'!V19</f>
        <v>0.48</v>
      </c>
      <c r="AO7" s="74" t="str">
        <f>'VCWF Data'!O31</f>
        <v>2.5-10</v>
      </c>
      <c r="AP7" s="75" t="str">
        <f>'VCWF Data'!P31</f>
        <v>1.34-17.34</v>
      </c>
      <c r="AQ7" s="75">
        <f>'VCWF Data'!Q31</f>
        <v>700</v>
      </c>
      <c r="AR7" s="75" t="str">
        <f>'VCWF Data'!R31</f>
        <v>52.4-63.75</v>
      </c>
      <c r="AS7" s="75">
        <f>'VCWF Data'!S31</f>
        <v>0.34</v>
      </c>
      <c r="AT7" s="75">
        <f>'VCWF Data'!T31</f>
        <v>1120</v>
      </c>
      <c r="AU7" s="75" t="str">
        <f>'VCWF Data'!U31</f>
        <v>63.78-84.04</v>
      </c>
      <c r="AV7" s="76">
        <f>'VCWF Data'!V31</f>
        <v>0.72</v>
      </c>
      <c r="AW7" s="74" t="str">
        <f>'VCWF Data'!O43</f>
        <v>2.5-10</v>
      </c>
      <c r="AX7" s="75" t="str">
        <f>'VCWF Data'!P43</f>
        <v>1.81-22.61</v>
      </c>
      <c r="AY7" s="75">
        <f>'VCWF Data'!Q43</f>
        <v>700</v>
      </c>
      <c r="AZ7" s="75" t="str">
        <f>'VCWF Data'!R43</f>
        <v>60.5-72.99</v>
      </c>
      <c r="BA7" s="75">
        <f>'VCWF Data'!S43</f>
        <v>0.46</v>
      </c>
      <c r="BB7" s="75">
        <f>'VCWF Data'!T43</f>
        <v>1120</v>
      </c>
      <c r="BC7" s="75" t="str">
        <f>'VCWF Data'!U43</f>
        <v>74.55-98.94</v>
      </c>
      <c r="BD7" s="76">
        <f>'VCWF Data'!V43</f>
        <v>0.97</v>
      </c>
    </row>
    <row r="8" spans="2:56" x14ac:dyDescent="0.25">
      <c r="B8" t="s">
        <v>82</v>
      </c>
      <c r="C8">
        <v>2000</v>
      </c>
      <c r="D8">
        <v>240</v>
      </c>
      <c r="E8">
        <v>300</v>
      </c>
      <c r="F8" s="246" t="s">
        <v>521</v>
      </c>
      <c r="G8" s="246">
        <v>20</v>
      </c>
      <c r="H8" s="246" t="s">
        <v>521</v>
      </c>
      <c r="I8" s="246">
        <v>19</v>
      </c>
      <c r="J8" t="s">
        <v>38</v>
      </c>
      <c r="K8" t="s">
        <v>28</v>
      </c>
      <c r="L8" s="249" t="s">
        <v>525</v>
      </c>
      <c r="M8">
        <v>1000</v>
      </c>
      <c r="N8">
        <v>0.01</v>
      </c>
      <c r="O8">
        <v>0.02</v>
      </c>
      <c r="P8">
        <v>1600</v>
      </c>
      <c r="Q8">
        <v>0.01</v>
      </c>
      <c r="R8">
        <v>0.05</v>
      </c>
      <c r="S8">
        <v>1000</v>
      </c>
      <c r="T8">
        <v>13</v>
      </c>
      <c r="U8">
        <v>41</v>
      </c>
      <c r="V8">
        <v>1600</v>
      </c>
      <c r="W8">
        <v>16</v>
      </c>
      <c r="X8">
        <v>31</v>
      </c>
      <c r="Y8" s="74" t="str">
        <f>'VCWF Data'!O8</f>
        <v>1.1-5</v>
      </c>
      <c r="Z8" s="75" t="str">
        <f>'VCWF Data'!P8</f>
        <v>0.76-11.77</v>
      </c>
      <c r="AA8" s="75">
        <f>'VCWF Data'!Q8</f>
        <v>1000</v>
      </c>
      <c r="AB8" s="75" t="str">
        <f>'VCWF Data'!R8</f>
        <v>28.66-40.1</v>
      </c>
      <c r="AC8" s="75">
        <f>'VCWF Data'!S8</f>
        <v>0.12</v>
      </c>
      <c r="AD8" s="75">
        <f>'VCWF Data'!T8</f>
        <v>1600</v>
      </c>
      <c r="AE8" s="75" t="str">
        <f>'VCWF Data'!U8</f>
        <v>33.63-51.4</v>
      </c>
      <c r="AF8" s="76">
        <f>'VCWF Data'!V8</f>
        <v>0.25</v>
      </c>
      <c r="AG8" s="74" t="str">
        <f>'VCWF Data'!O20</f>
        <v>1.1-5</v>
      </c>
      <c r="AH8" s="75" t="str">
        <f>'VCWF Data'!P20</f>
        <v>0.08-1.3</v>
      </c>
      <c r="AI8" s="75">
        <f>'VCWF Data'!Q20</f>
        <v>1000</v>
      </c>
      <c r="AJ8" s="75" t="str">
        <f>'VCWF Data'!R20</f>
        <v>32.63-61.83</v>
      </c>
      <c r="AK8" s="75">
        <f>'VCWF Data'!S20</f>
        <v>0.23</v>
      </c>
      <c r="AL8" s="75">
        <f>'VCWF Data'!T20</f>
        <v>1600</v>
      </c>
      <c r="AM8" s="75" t="str">
        <f>'VCWF Data'!U20</f>
        <v>35.22-75.29</v>
      </c>
      <c r="AN8" s="75">
        <f>'VCWF Data'!V20</f>
        <v>0.49</v>
      </c>
      <c r="AO8" s="74" t="str">
        <f>'VCWF Data'!O32</f>
        <v>3.5-14</v>
      </c>
      <c r="AP8" s="75" t="str">
        <f>'VCWF Data'!P32</f>
        <v>0.85-11.18</v>
      </c>
      <c r="AQ8" s="75">
        <f>'VCWF Data'!Q32</f>
        <v>1000</v>
      </c>
      <c r="AR8" s="75" t="str">
        <f>'VCWF Data'!R32</f>
        <v>69.78-86.68</v>
      </c>
      <c r="AS8" s="75">
        <f>'VCWF Data'!S32</f>
        <v>0.35</v>
      </c>
      <c r="AT8" s="75">
        <f>'VCWF Data'!T32</f>
        <v>1600</v>
      </c>
      <c r="AU8" s="75" t="str">
        <f>'VCWF Data'!U32</f>
        <v>84.03-113.07</v>
      </c>
      <c r="AV8" s="76">
        <f>'VCWF Data'!V32</f>
        <v>0.73</v>
      </c>
      <c r="AW8" s="74" t="str">
        <f>'VCWF Data'!O44</f>
        <v>3.5-14</v>
      </c>
      <c r="AX8" s="75" t="str">
        <f>'VCWF Data'!P44</f>
        <v>1.02-13.15</v>
      </c>
      <c r="AY8" s="75">
        <f>'VCWF Data'!Q44</f>
        <v>1000</v>
      </c>
      <c r="AZ8" s="75" t="str">
        <f>'VCWF Data'!R44</f>
        <v>84.04-103.25</v>
      </c>
      <c r="BA8" s="75">
        <f>'VCWF Data'!S44</f>
        <v>0.47</v>
      </c>
      <c r="BB8" s="75">
        <f>'VCWF Data'!T44</f>
        <v>1600</v>
      </c>
      <c r="BC8" s="75" t="str">
        <f>'VCWF Data'!U44</f>
        <v>102.69-139.32</v>
      </c>
      <c r="BD8" s="76">
        <f>'VCWF Data'!V44</f>
        <v>0.98</v>
      </c>
    </row>
    <row r="9" spans="2:56" x14ac:dyDescent="0.25">
      <c r="B9" t="s">
        <v>83</v>
      </c>
      <c r="C9">
        <v>3000</v>
      </c>
      <c r="D9">
        <v>320</v>
      </c>
      <c r="E9">
        <v>408</v>
      </c>
      <c r="F9" s="246">
        <v>18</v>
      </c>
      <c r="G9" s="246">
        <v>23</v>
      </c>
      <c r="H9" s="248">
        <v>15</v>
      </c>
      <c r="I9" s="246">
        <v>20</v>
      </c>
      <c r="J9" t="s">
        <v>39</v>
      </c>
      <c r="K9" t="s">
        <v>29</v>
      </c>
      <c r="L9" s="249" t="s">
        <v>526</v>
      </c>
      <c r="M9">
        <v>1500</v>
      </c>
      <c r="N9">
        <v>0.01</v>
      </c>
      <c r="O9">
        <v>0.01</v>
      </c>
      <c r="P9">
        <v>2400</v>
      </c>
      <c r="Q9">
        <v>0.01</v>
      </c>
      <c r="R9">
        <v>0.01</v>
      </c>
      <c r="S9">
        <v>1500</v>
      </c>
      <c r="T9">
        <v>20</v>
      </c>
      <c r="U9">
        <v>42</v>
      </c>
      <c r="V9">
        <v>2400</v>
      </c>
      <c r="W9">
        <v>22</v>
      </c>
      <c r="X9">
        <v>29</v>
      </c>
      <c r="Y9" s="74" t="str">
        <f>'VCWF Data'!O9</f>
        <v>2-7</v>
      </c>
      <c r="Z9" s="75" t="str">
        <f>'VCWF Data'!P9</f>
        <v>1.16-11.24</v>
      </c>
      <c r="AA9" s="75">
        <f>'VCWF Data'!Q9</f>
        <v>1500</v>
      </c>
      <c r="AB9" s="75" t="str">
        <f>'VCWF Data'!R9</f>
        <v>45.16-58.62</v>
      </c>
      <c r="AC9" s="75">
        <f>'VCWF Data'!S9</f>
        <v>0.13</v>
      </c>
      <c r="AD9" s="75">
        <f>'VCWF Data'!T9</f>
        <v>2400</v>
      </c>
      <c r="AE9" s="75" t="str">
        <f>'VCWF Data'!U9</f>
        <v>53.91-75</v>
      </c>
      <c r="AF9" s="76">
        <f>'VCWF Data'!V9</f>
        <v>0.26</v>
      </c>
      <c r="AG9" s="74" t="str">
        <f>'VCWF Data'!O21</f>
        <v>2-7</v>
      </c>
      <c r="AH9" s="75" t="str">
        <f>'VCWF Data'!P21</f>
        <v>0.19-1.95</v>
      </c>
      <c r="AI9" s="75">
        <f>'VCWF Data'!Q21</f>
        <v>1500</v>
      </c>
      <c r="AJ9" s="75" t="str">
        <f>'VCWF Data'!R21</f>
        <v>57.59-91.2</v>
      </c>
      <c r="AK9" s="75">
        <f>'VCWF Data'!S21</f>
        <v>0.25</v>
      </c>
      <c r="AL9" s="75">
        <f>'VCWF Data'!T21</f>
        <v>2400</v>
      </c>
      <c r="AM9" s="75" t="str">
        <f>'VCWF Data'!U21</f>
        <v>63.45-110.72</v>
      </c>
      <c r="AN9" s="75">
        <f>'VCWF Data'!V21</f>
        <v>0.52</v>
      </c>
      <c r="AO9" s="74" t="str">
        <f>'VCWF Data'!O33</f>
        <v>5-15</v>
      </c>
      <c r="AP9" s="75" t="str">
        <f>'VCWF Data'!P33</f>
        <v>1.26-9.93</v>
      </c>
      <c r="AQ9" s="75">
        <f>'VCWF Data'!Q33</f>
        <v>1500</v>
      </c>
      <c r="AR9" s="75" t="str">
        <f>'VCWF Data'!R33</f>
        <v>107.48-130.05</v>
      </c>
      <c r="AS9" s="75">
        <f>'VCWF Data'!S33</f>
        <v>0.37</v>
      </c>
      <c r="AT9" s="75">
        <f>'VCWF Data'!T33</f>
        <v>2400</v>
      </c>
      <c r="AU9" s="75" t="str">
        <f>'VCWF Data'!U33</f>
        <v>129.44-168.24</v>
      </c>
      <c r="AV9" s="76">
        <f>'VCWF Data'!V33</f>
        <v>0.78</v>
      </c>
      <c r="AW9" s="74" t="str">
        <f>'VCWF Data'!O45</f>
        <v>5-15</v>
      </c>
      <c r="AX9" s="75" t="str">
        <f>'VCWF Data'!P45</f>
        <v>1.49-11.46</v>
      </c>
      <c r="AY9" s="75">
        <f>'VCWF Data'!Q45</f>
        <v>1500</v>
      </c>
      <c r="AZ9" s="75" t="str">
        <f>'VCWF Data'!R45</f>
        <v>124.5-149.84</v>
      </c>
      <c r="BA9" s="75">
        <f>'VCWF Data'!S45</f>
        <v>0.49</v>
      </c>
      <c r="BB9" s="75">
        <f>'VCWF Data'!T45</f>
        <v>2400</v>
      </c>
      <c r="BC9" s="75" t="str">
        <f>'VCWF Data'!U45</f>
        <v>151.59-198.86</v>
      </c>
      <c r="BD9" s="76">
        <f>'VCWF Data'!V45</f>
        <v>1.04</v>
      </c>
    </row>
    <row r="10" spans="2:56" x14ac:dyDescent="0.25">
      <c r="B10" t="s">
        <v>84</v>
      </c>
      <c r="C10">
        <v>4000</v>
      </c>
      <c r="D10">
        <v>420</v>
      </c>
      <c r="E10">
        <v>536</v>
      </c>
      <c r="F10" s="246">
        <v>19</v>
      </c>
      <c r="G10" s="246">
        <v>25</v>
      </c>
      <c r="H10" s="248">
        <v>17</v>
      </c>
      <c r="I10" s="246">
        <v>23</v>
      </c>
      <c r="J10" t="s">
        <v>40</v>
      </c>
      <c r="K10" t="s">
        <v>30</v>
      </c>
      <c r="L10" s="249" t="s">
        <v>527</v>
      </c>
      <c r="M10">
        <v>2000</v>
      </c>
      <c r="N10">
        <v>0.01</v>
      </c>
      <c r="O10">
        <v>0.01</v>
      </c>
      <c r="P10">
        <v>3200</v>
      </c>
      <c r="Q10">
        <v>0.01</v>
      </c>
      <c r="R10">
        <v>0.02</v>
      </c>
      <c r="S10">
        <v>2000</v>
      </c>
      <c r="T10">
        <v>28</v>
      </c>
      <c r="U10">
        <v>44</v>
      </c>
      <c r="V10">
        <v>3200</v>
      </c>
      <c r="W10">
        <v>30</v>
      </c>
      <c r="X10">
        <v>30</v>
      </c>
      <c r="Y10" s="74" t="str">
        <f>'VCWF Data'!O10</f>
        <v>2.3-7.5</v>
      </c>
      <c r="Z10" s="75" t="str">
        <f>'VCWF Data'!P10</f>
        <v>1.65-13.99</v>
      </c>
      <c r="AA10" s="75">
        <f>'VCWF Data'!Q10</f>
        <v>2000</v>
      </c>
      <c r="AB10" s="75" t="str">
        <f>'VCWF Data'!R10</f>
        <v>57.08-74.16</v>
      </c>
      <c r="AC10" s="75">
        <f>'VCWF Data'!S10</f>
        <v>0.15</v>
      </c>
      <c r="AD10" s="75">
        <f>'VCWF Data'!T10</f>
        <v>3200</v>
      </c>
      <c r="AE10" s="75" t="str">
        <f>'VCWF Data'!U10</f>
        <v>67.87-94.61</v>
      </c>
      <c r="AF10" s="76">
        <f>'VCWF Data'!V10</f>
        <v>0.31</v>
      </c>
      <c r="AG10" s="74" t="str">
        <f>'VCWF Data'!O22</f>
        <v>2.3-7.5</v>
      </c>
      <c r="AH10" s="75" t="str">
        <f>'VCWF Data'!P22</f>
        <v>0.26-2.35</v>
      </c>
      <c r="AI10" s="75">
        <f>'VCWF Data'!Q22</f>
        <v>2000</v>
      </c>
      <c r="AJ10" s="75" t="str">
        <f>'VCWF Data'!R22</f>
        <v>72.94-114.54</v>
      </c>
      <c r="AK10" s="75">
        <f>'VCWF Data'!S22</f>
        <v>0.28999999999999998</v>
      </c>
      <c r="AL10" s="75">
        <f>'VCWF Data'!T22</f>
        <v>3200</v>
      </c>
      <c r="AM10" s="75" t="str">
        <f>'VCWF Data'!U22</f>
        <v>79.93-137.37</v>
      </c>
      <c r="AN10" s="75">
        <f>'VCWF Data'!V22</f>
        <v>0.61</v>
      </c>
      <c r="AO10" s="74" t="str">
        <f>'VCWF Data'!O34</f>
        <v>5-17</v>
      </c>
      <c r="AP10" s="75" t="str">
        <f>'VCWF Data'!P34</f>
        <v>1.35-13.34</v>
      </c>
      <c r="AQ10" s="75">
        <f>'VCWF Data'!Q34</f>
        <v>2000</v>
      </c>
      <c r="AR10" s="75" t="str">
        <f>'VCWF Data'!R34</f>
        <v>130.77-166.98</v>
      </c>
      <c r="AS10" s="75">
        <f>'VCWF Data'!S34</f>
        <v>0.43</v>
      </c>
      <c r="AT10" s="75">
        <f>'VCWF Data'!T34</f>
        <v>3200</v>
      </c>
      <c r="AU10" s="75" t="str">
        <f>'VCWF Data'!U34</f>
        <v>153.8-213.72</v>
      </c>
      <c r="AV10" s="76">
        <f>'VCWF Data'!V34</f>
        <v>0.91</v>
      </c>
      <c r="AW10" s="74" t="str">
        <f>'VCWF Data'!O46</f>
        <v>5-17</v>
      </c>
      <c r="AX10" s="75" t="str">
        <f>'VCWF Data'!P46</f>
        <v>1.61-15.5</v>
      </c>
      <c r="AY10" s="75">
        <f>'VCWF Data'!Q46</f>
        <v>2000</v>
      </c>
      <c r="AZ10" s="75" t="str">
        <f>'VCWF Data'!R46</f>
        <v>151.23-193.3</v>
      </c>
      <c r="BA10" s="75">
        <f>'VCWF Data'!S46</f>
        <v>0.56999999999999995</v>
      </c>
      <c r="BB10" s="75">
        <f>'VCWF Data'!T46</f>
        <v>3200</v>
      </c>
      <c r="BC10" s="75" t="str">
        <f>'VCWF Data'!U46</f>
        <v>178.8-253.36</v>
      </c>
      <c r="BD10" s="76">
        <f>'VCWF Data'!V46</f>
        <v>1.22</v>
      </c>
    </row>
    <row r="11" spans="2:56" ht="15.75" thickBot="1" x14ac:dyDescent="0.3">
      <c r="B11" t="s">
        <v>543</v>
      </c>
      <c r="C11">
        <v>8000</v>
      </c>
      <c r="D11">
        <v>800</v>
      </c>
      <c r="E11">
        <v>1096</v>
      </c>
      <c r="F11" s="246">
        <v>26</v>
      </c>
      <c r="G11" s="246">
        <v>33</v>
      </c>
      <c r="H11" s="248">
        <v>23</v>
      </c>
      <c r="I11" s="246">
        <v>29</v>
      </c>
      <c r="J11" t="s">
        <v>41</v>
      </c>
      <c r="K11" t="s">
        <v>31</v>
      </c>
      <c r="L11" s="249" t="s">
        <v>528</v>
      </c>
      <c r="M11">
        <v>4000</v>
      </c>
      <c r="N11">
        <v>0.01</v>
      </c>
      <c r="O11">
        <v>0.15</v>
      </c>
      <c r="P11">
        <v>6400</v>
      </c>
      <c r="Q11">
        <v>0.01</v>
      </c>
      <c r="R11">
        <v>0.42</v>
      </c>
      <c r="S11">
        <v>4000</v>
      </c>
      <c r="T11">
        <v>46</v>
      </c>
      <c r="U11">
        <v>36</v>
      </c>
      <c r="V11">
        <v>6400</v>
      </c>
      <c r="W11">
        <v>46</v>
      </c>
      <c r="X11">
        <v>23</v>
      </c>
      <c r="Y11" s="12" t="str">
        <f>'VCWF Data'!O11</f>
        <v>4-7</v>
      </c>
      <c r="Z11" s="13" t="str">
        <f>'VCWF Data'!P11</f>
        <v>4.91-13.49</v>
      </c>
      <c r="AA11" s="13">
        <f>'VCWF Data'!Q11</f>
        <v>4000</v>
      </c>
      <c r="AB11" s="13" t="str">
        <f>'VCWF Data'!R11</f>
        <v>96.16-111.02</v>
      </c>
      <c r="AC11" s="13">
        <f>'VCWF Data'!S11</f>
        <v>0.41</v>
      </c>
      <c r="AD11" s="13">
        <f>'VCWF Data'!T11</f>
        <v>5100</v>
      </c>
      <c r="AE11" s="13" t="str">
        <f>'VCWF Data'!U11</f>
        <v>106-124.93</v>
      </c>
      <c r="AF11" s="14">
        <f>'VCWF Data'!V11</f>
        <v>0.62</v>
      </c>
      <c r="AG11" s="12" t="str">
        <f>'VCWF Data'!O23</f>
        <v>4-7</v>
      </c>
      <c r="AH11" s="13" t="str">
        <f>'VCWF Data'!P23</f>
        <v>0.9-2.53</v>
      </c>
      <c r="AI11" s="13">
        <f>'VCWF Data'!Q23</f>
        <v>4000</v>
      </c>
      <c r="AJ11" s="13" t="str">
        <f>'VCWF Data'!R23</f>
        <v>124.75-156.6</v>
      </c>
      <c r="AK11" s="13">
        <f>'VCWF Data'!S23</f>
        <v>0.74</v>
      </c>
      <c r="AL11" s="13">
        <f>'VCWF Data'!T23</f>
        <v>5100</v>
      </c>
      <c r="AM11" s="13" t="str">
        <f>'VCWF Data'!U23</f>
        <v>131.12-167.76</v>
      </c>
      <c r="AN11" s="13">
        <f>'VCWF Data'!V23</f>
        <v>1.1200000000000001</v>
      </c>
      <c r="AO11" s="12" t="str">
        <f>'VCWF Data'!O35</f>
        <v>5-17</v>
      </c>
      <c r="AP11" s="13" t="str">
        <f>'VCWF Data'!P35</f>
        <v>1.45-14.1</v>
      </c>
      <c r="AQ11" s="13">
        <f>'VCWF Data'!Q35</f>
        <v>4000</v>
      </c>
      <c r="AR11" s="13" t="str">
        <f>'VCWF Data'!R35</f>
        <v>174.69-254.01</v>
      </c>
      <c r="AS11" s="13">
        <f>'VCWF Data'!S35</f>
        <v>1.08</v>
      </c>
      <c r="AT11" s="13">
        <f>'VCWF Data'!T35</f>
        <v>5100</v>
      </c>
      <c r="AU11" s="13" t="str">
        <f>'VCWF Data'!U35</f>
        <v>184.83-281.03</v>
      </c>
      <c r="AV11" s="14">
        <f>'VCWF Data'!V35</f>
        <v>1.62</v>
      </c>
      <c r="AW11" s="12" t="str">
        <f>'VCWF Data'!O47</f>
        <v>5-17</v>
      </c>
      <c r="AX11" s="13" t="str">
        <f>'VCWF Data'!P47</f>
        <v>1.75-16.54</v>
      </c>
      <c r="AY11" s="13">
        <f>'VCWF Data'!Q47</f>
        <v>4000</v>
      </c>
      <c r="AZ11" s="13" t="str">
        <f>'VCWF Data'!R47</f>
        <v>201.24-301.32</v>
      </c>
      <c r="BA11" s="13">
        <f>'VCWF Data'!S47</f>
        <v>1.41</v>
      </c>
      <c r="BB11" s="13">
        <f>'VCWF Data'!T47</f>
        <v>5100</v>
      </c>
      <c r="BC11" s="13" t="str">
        <f>'VCWF Data'!U47</f>
        <v>212.51-336.12</v>
      </c>
      <c r="BD11" s="14">
        <f>'VCWF Data'!V47</f>
        <v>2.11</v>
      </c>
    </row>
    <row r="12" spans="2:56" x14ac:dyDescent="0.25">
      <c r="Z12" s="15"/>
      <c r="AB12" s="15"/>
    </row>
    <row r="13" spans="2:56" x14ac:dyDescent="0.25">
      <c r="J13" s="104"/>
      <c r="K13" s="104"/>
      <c r="L13" s="104"/>
      <c r="M13" s="104"/>
      <c r="N13" s="104"/>
      <c r="O13" s="104"/>
      <c r="R13" s="7"/>
      <c r="S13" s="7"/>
      <c r="T13" s="7"/>
      <c r="U13" s="7"/>
      <c r="V13" s="7"/>
      <c r="W13" s="7"/>
      <c r="X13" s="7"/>
      <c r="Y13" s="15"/>
      <c r="Z13" s="15"/>
      <c r="AA13" s="7"/>
      <c r="AB13" s="15"/>
    </row>
    <row r="14" spans="2:56" x14ac:dyDescent="0.25">
      <c r="B14" t="s">
        <v>12</v>
      </c>
      <c r="J14" s="104"/>
      <c r="K14" s="104"/>
      <c r="L14" s="104"/>
      <c r="M14" s="104"/>
      <c r="N14" s="104"/>
      <c r="O14" s="104"/>
      <c r="R14" s="7"/>
      <c r="S14" s="242"/>
      <c r="T14" s="7"/>
      <c r="U14" s="242"/>
      <c r="V14" s="7"/>
      <c r="W14" s="7"/>
      <c r="X14" s="7"/>
      <c r="Y14" s="75"/>
      <c r="Z14" s="7"/>
      <c r="AA14" s="15"/>
      <c r="AB14" s="15"/>
      <c r="AC14" s="15"/>
    </row>
    <row r="15" spans="2:56" x14ac:dyDescent="0.25">
      <c r="B15" t="s">
        <v>13</v>
      </c>
      <c r="J15" s="104"/>
      <c r="K15" s="104"/>
      <c r="L15" s="104"/>
      <c r="M15" s="104"/>
      <c r="N15" s="104"/>
      <c r="O15" s="104"/>
      <c r="R15" s="7"/>
      <c r="S15" s="242"/>
      <c r="T15" s="7"/>
      <c r="U15" s="242"/>
      <c r="V15" s="7"/>
      <c r="W15" s="7"/>
      <c r="X15" s="7"/>
      <c r="Y15" s="75"/>
      <c r="Z15" s="7"/>
      <c r="AA15" s="15"/>
      <c r="AB15" s="15"/>
      <c r="AC15" s="15"/>
    </row>
    <row r="16" spans="2:56" x14ac:dyDescent="0.25">
      <c r="B16" t="s">
        <v>14</v>
      </c>
      <c r="J16" s="104"/>
      <c r="K16" s="104"/>
      <c r="L16" s="104"/>
      <c r="M16" s="104"/>
      <c r="N16" s="104"/>
      <c r="O16" s="104"/>
      <c r="R16" s="7"/>
      <c r="S16" s="242"/>
      <c r="T16" s="7"/>
      <c r="U16" s="242"/>
      <c r="V16" s="7"/>
      <c r="W16" s="7"/>
      <c r="X16" s="7"/>
      <c r="Y16" s="75"/>
      <c r="Z16" s="7"/>
      <c r="AA16" s="15"/>
      <c r="AB16" s="15"/>
      <c r="AC16" s="15"/>
    </row>
    <row r="17" spans="10:29" x14ac:dyDescent="0.25">
      <c r="J17" s="104"/>
      <c r="K17" s="104"/>
      <c r="L17" s="104"/>
      <c r="M17" s="104"/>
      <c r="N17" s="104"/>
      <c r="O17" s="104"/>
      <c r="R17" s="7"/>
      <c r="S17" s="242"/>
      <c r="T17" s="7"/>
      <c r="U17" s="242"/>
      <c r="V17" s="7"/>
      <c r="W17" s="7"/>
      <c r="X17" s="7"/>
      <c r="Y17" s="75"/>
      <c r="Z17" s="7"/>
      <c r="AA17" s="15"/>
      <c r="AB17" s="15"/>
      <c r="AC17" s="15"/>
    </row>
    <row r="18" spans="10:29" x14ac:dyDescent="0.25">
      <c r="J18" s="104"/>
      <c r="K18" s="104"/>
      <c r="L18" s="104"/>
      <c r="M18" s="104"/>
      <c r="N18" s="104"/>
      <c r="O18" s="104"/>
      <c r="R18" s="7"/>
      <c r="S18" s="242"/>
      <c r="T18" s="7"/>
      <c r="U18" s="242"/>
      <c r="V18" s="7"/>
      <c r="W18" s="7"/>
      <c r="X18" s="7"/>
      <c r="Y18" s="75"/>
      <c r="Z18" s="7"/>
      <c r="AA18" s="15"/>
      <c r="AB18" s="15"/>
      <c r="AC18" s="15"/>
    </row>
    <row r="19" spans="10:29" x14ac:dyDescent="0.25">
      <c r="J19" s="104"/>
      <c r="K19" s="104"/>
      <c r="L19" s="104"/>
      <c r="M19" s="104"/>
      <c r="N19" s="104"/>
      <c r="O19" s="104"/>
      <c r="R19" s="7"/>
      <c r="S19" s="242"/>
      <c r="T19" s="7"/>
      <c r="U19" s="242"/>
      <c r="V19" s="7"/>
      <c r="W19" s="7"/>
      <c r="X19" s="7"/>
      <c r="Y19" s="75"/>
      <c r="Z19" s="7"/>
      <c r="AA19" s="15"/>
      <c r="AB19" s="15"/>
      <c r="AC19" s="15"/>
    </row>
    <row r="20" spans="10:29" x14ac:dyDescent="0.25">
      <c r="J20" s="104"/>
      <c r="K20" s="104"/>
      <c r="L20" s="104"/>
      <c r="M20" s="104"/>
      <c r="N20" s="104"/>
      <c r="O20" s="104"/>
      <c r="R20" s="7"/>
      <c r="S20" s="242"/>
      <c r="T20" s="7"/>
      <c r="U20" s="242"/>
      <c r="V20" s="7"/>
      <c r="W20" s="7"/>
      <c r="X20" s="7"/>
      <c r="Y20" s="75"/>
      <c r="Z20" s="7"/>
      <c r="AA20" s="15"/>
      <c r="AB20" s="7"/>
      <c r="AC20" s="15"/>
    </row>
    <row r="21" spans="10:29" x14ac:dyDescent="0.25">
      <c r="J21" s="104"/>
      <c r="K21" s="104"/>
      <c r="L21" s="104"/>
      <c r="M21" s="104"/>
      <c r="N21" s="104"/>
      <c r="O21" s="104"/>
      <c r="R21" s="7"/>
      <c r="S21" s="242"/>
      <c r="T21" s="7"/>
      <c r="U21" s="242"/>
      <c r="V21" s="7"/>
      <c r="W21" s="7"/>
      <c r="X21" s="7"/>
      <c r="Y21" s="75"/>
      <c r="Z21" s="7"/>
      <c r="AA21" s="15"/>
      <c r="AB21" s="7"/>
      <c r="AC21" s="15"/>
    </row>
    <row r="22" spans="10:29" x14ac:dyDescent="0.25">
      <c r="R22" s="7"/>
      <c r="S22" s="242"/>
      <c r="T22" s="7"/>
      <c r="U22" s="242"/>
      <c r="V22" s="7"/>
      <c r="W22" s="7"/>
      <c r="X22" s="7"/>
      <c r="Y22" s="75"/>
      <c r="Z22" s="7"/>
      <c r="AA22" s="15"/>
      <c r="AB22" s="7"/>
      <c r="AC22" s="15"/>
    </row>
    <row r="23" spans="10:29" x14ac:dyDescent="0.25">
      <c r="R23" s="7"/>
      <c r="S23" s="242"/>
      <c r="T23" s="7"/>
      <c r="U23" s="242"/>
      <c r="V23" s="7"/>
      <c r="W23" s="7"/>
      <c r="X23" s="7"/>
      <c r="Y23" s="75"/>
      <c r="Z23" s="15"/>
      <c r="AA23" s="7"/>
      <c r="AB23" s="15"/>
    </row>
    <row r="24" spans="10:29" x14ac:dyDescent="0.25">
      <c r="R24" s="7"/>
      <c r="S24" s="242"/>
      <c r="T24" s="7"/>
      <c r="U24" s="242"/>
      <c r="V24" s="7"/>
      <c r="W24" s="7"/>
      <c r="X24" s="7"/>
      <c r="Y24" s="75"/>
      <c r="Z24" s="15"/>
      <c r="AA24" s="7"/>
      <c r="AB24" s="15"/>
    </row>
    <row r="25" spans="10:29" x14ac:dyDescent="0.25">
      <c r="R25" s="7"/>
      <c r="S25" s="242"/>
      <c r="T25" s="7"/>
      <c r="U25" s="242"/>
      <c r="V25" s="7"/>
      <c r="W25" s="7"/>
      <c r="X25" s="7"/>
      <c r="Y25" s="75"/>
      <c r="Z25" s="15"/>
      <c r="AA25" s="7"/>
      <c r="AB25" s="15"/>
    </row>
    <row r="26" spans="10:29" x14ac:dyDescent="0.25">
      <c r="R26" s="7"/>
      <c r="S26" s="242"/>
      <c r="T26" s="7"/>
      <c r="U26" s="242"/>
      <c r="V26" s="7"/>
      <c r="W26" s="7"/>
      <c r="X26" s="7"/>
      <c r="Y26" s="75"/>
      <c r="Z26" s="15"/>
      <c r="AA26" s="7"/>
      <c r="AB26" s="15"/>
    </row>
    <row r="27" spans="10:29" x14ac:dyDescent="0.25">
      <c r="R27" s="7"/>
      <c r="S27" s="242"/>
      <c r="T27" s="7"/>
      <c r="U27" s="242"/>
      <c r="V27" s="7"/>
      <c r="W27" s="7"/>
      <c r="X27" s="7"/>
      <c r="Y27" s="75"/>
      <c r="Z27" s="15"/>
      <c r="AA27" s="7"/>
      <c r="AB27" s="15"/>
    </row>
    <row r="28" spans="10:29" x14ac:dyDescent="0.25">
      <c r="R28" s="7"/>
      <c r="S28" s="242"/>
      <c r="T28" s="7"/>
      <c r="U28" s="242"/>
      <c r="V28" s="7"/>
      <c r="W28" s="7"/>
      <c r="X28" s="7"/>
      <c r="Y28" s="75"/>
      <c r="Z28" s="15"/>
      <c r="AA28" s="7"/>
      <c r="AB28" s="15"/>
    </row>
    <row r="29" spans="10:29" x14ac:dyDescent="0.25">
      <c r="R29" s="7"/>
      <c r="S29" s="242"/>
      <c r="T29" s="7"/>
      <c r="U29" s="242"/>
      <c r="V29" s="7"/>
      <c r="W29" s="7"/>
      <c r="X29" s="7"/>
      <c r="Y29" s="75"/>
      <c r="Z29" s="15"/>
      <c r="AA29" s="7"/>
      <c r="AB29" s="15"/>
    </row>
    <row r="30" spans="10:29" x14ac:dyDescent="0.25">
      <c r="R30" s="7"/>
      <c r="S30" s="242"/>
      <c r="T30" s="7"/>
      <c r="U30" s="242"/>
      <c r="V30" s="7"/>
      <c r="W30" s="7"/>
      <c r="X30" s="7"/>
      <c r="Y30" s="75"/>
      <c r="Z30" s="15"/>
      <c r="AA30" s="7"/>
      <c r="AB30" s="15"/>
    </row>
    <row r="31" spans="10:29" x14ac:dyDescent="0.25">
      <c r="R31" s="7"/>
      <c r="S31" s="242"/>
      <c r="T31" s="7"/>
      <c r="U31" s="242"/>
      <c r="V31" s="7"/>
      <c r="W31" s="7"/>
      <c r="X31" s="7"/>
      <c r="Y31" s="75"/>
      <c r="Z31" s="15"/>
      <c r="AA31" s="7"/>
      <c r="AB31" s="15"/>
    </row>
    <row r="32" spans="10:29" x14ac:dyDescent="0.25">
      <c r="R32" s="7"/>
      <c r="S32" s="242"/>
      <c r="T32" s="7"/>
      <c r="U32" s="242"/>
      <c r="V32" s="7"/>
      <c r="W32" s="7"/>
      <c r="X32" s="7"/>
      <c r="Y32" s="75"/>
      <c r="Z32" s="7"/>
      <c r="AA32" s="7"/>
      <c r="AB32" s="7"/>
    </row>
    <row r="33" spans="18:28" x14ac:dyDescent="0.25">
      <c r="R33" s="7"/>
      <c r="S33" s="242"/>
      <c r="T33" s="7"/>
      <c r="U33" s="242"/>
      <c r="V33" s="7"/>
      <c r="W33" s="7"/>
      <c r="X33" s="7"/>
      <c r="Y33" s="75"/>
      <c r="Z33" s="7"/>
      <c r="AA33" s="7"/>
      <c r="AB33" s="7"/>
    </row>
    <row r="34" spans="18:28" x14ac:dyDescent="0.25">
      <c r="R34" s="7"/>
      <c r="S34" s="242"/>
      <c r="T34" s="7"/>
      <c r="U34" s="242"/>
      <c r="V34" s="7"/>
      <c r="W34" s="7"/>
      <c r="X34" s="7"/>
      <c r="Y34" s="75"/>
      <c r="Z34" s="7"/>
      <c r="AA34" s="7"/>
      <c r="AB34" s="7"/>
    </row>
    <row r="35" spans="18:28" x14ac:dyDescent="0.25">
      <c r="R35" s="7"/>
      <c r="S35" s="242"/>
      <c r="T35" s="7"/>
      <c r="U35" s="242"/>
      <c r="V35" s="7"/>
      <c r="W35" s="7"/>
      <c r="X35" s="7"/>
      <c r="Y35" s="75"/>
      <c r="Z35" s="7"/>
      <c r="AA35" s="7"/>
      <c r="AB35" s="7"/>
    </row>
    <row r="36" spans="18:28" x14ac:dyDescent="0.25">
      <c r="R36" s="7"/>
      <c r="S36" s="242"/>
      <c r="T36" s="7"/>
      <c r="U36" s="242"/>
      <c r="V36" s="7"/>
      <c r="W36" s="7"/>
      <c r="X36" s="7"/>
      <c r="Y36" s="75"/>
      <c r="Z36" s="7"/>
      <c r="AA36" s="7"/>
      <c r="AB36" s="7"/>
    </row>
    <row r="37" spans="18:28" x14ac:dyDescent="0.25">
      <c r="R37" s="7"/>
      <c r="S37" s="242"/>
      <c r="T37" s="7"/>
      <c r="U37" s="242"/>
      <c r="V37" s="7"/>
      <c r="W37" s="7"/>
      <c r="X37" s="7"/>
      <c r="Y37" s="75"/>
      <c r="Z37" s="7"/>
      <c r="AA37" s="7"/>
      <c r="AB37" s="7"/>
    </row>
    <row r="38" spans="18:28" x14ac:dyDescent="0.25">
      <c r="R38" s="7"/>
      <c r="S38" s="242"/>
      <c r="T38" s="7"/>
      <c r="U38" s="242"/>
      <c r="V38" s="7"/>
      <c r="W38" s="7"/>
      <c r="X38" s="7"/>
      <c r="Y38" s="75"/>
      <c r="Z38" s="7"/>
      <c r="AA38" s="7"/>
      <c r="AB38" s="7"/>
    </row>
    <row r="39" spans="18:28" x14ac:dyDescent="0.25">
      <c r="R39" s="7"/>
      <c r="S39" s="242"/>
      <c r="T39" s="7"/>
      <c r="U39" s="242"/>
      <c r="V39" s="7"/>
      <c r="W39" s="7"/>
      <c r="X39" s="7"/>
      <c r="Y39" s="75"/>
      <c r="Z39" s="7"/>
      <c r="AA39" s="7"/>
      <c r="AB39" s="7"/>
    </row>
    <row r="40" spans="18:28" x14ac:dyDescent="0.25">
      <c r="R40" s="7"/>
      <c r="S40" s="242"/>
      <c r="T40" s="7"/>
      <c r="U40" s="242"/>
      <c r="V40" s="7"/>
      <c r="W40" s="7"/>
      <c r="X40" s="7"/>
      <c r="Y40" s="75"/>
      <c r="Z40" s="7"/>
      <c r="AA40" s="7"/>
      <c r="AB40" s="7"/>
    </row>
    <row r="41" spans="18:28" x14ac:dyDescent="0.25">
      <c r="R41" s="7"/>
      <c r="S41" s="242"/>
      <c r="T41" s="7"/>
      <c r="U41" s="242"/>
      <c r="V41" s="7"/>
      <c r="W41" s="7"/>
      <c r="X41" s="7"/>
      <c r="Y41" s="75"/>
      <c r="Z41" s="15"/>
      <c r="AA41" s="7"/>
      <c r="AB41" s="7"/>
    </row>
    <row r="42" spans="18:28" x14ac:dyDescent="0.25">
      <c r="R42" s="7"/>
      <c r="S42" s="242"/>
      <c r="T42" s="7"/>
      <c r="U42" s="242"/>
      <c r="V42" s="7"/>
      <c r="W42" s="7"/>
      <c r="X42" s="7"/>
      <c r="Y42" s="75"/>
      <c r="Z42" s="15"/>
      <c r="AA42" s="7"/>
      <c r="AB42" s="7"/>
    </row>
    <row r="43" spans="18:28" x14ac:dyDescent="0.25">
      <c r="R43" s="7"/>
      <c r="S43" s="242"/>
      <c r="T43" s="7"/>
      <c r="U43" s="242"/>
      <c r="V43" s="7"/>
      <c r="W43" s="7"/>
      <c r="X43" s="7"/>
      <c r="Y43" s="75"/>
      <c r="Z43" s="15"/>
      <c r="AA43" s="7"/>
      <c r="AB43" s="7"/>
    </row>
    <row r="44" spans="18:28" x14ac:dyDescent="0.25">
      <c r="R44" s="7"/>
      <c r="S44" s="242"/>
      <c r="T44" s="7"/>
      <c r="U44" s="242"/>
      <c r="V44" s="7"/>
      <c r="W44" s="7"/>
      <c r="X44" s="7"/>
      <c r="Y44" s="75"/>
      <c r="Z44" s="15"/>
      <c r="AA44" s="7"/>
      <c r="AB44" s="7"/>
    </row>
    <row r="45" spans="18:28" x14ac:dyDescent="0.25">
      <c r="R45" s="7"/>
      <c r="S45" s="242"/>
      <c r="T45" s="7"/>
      <c r="U45" s="242"/>
      <c r="V45" s="7"/>
      <c r="W45" s="7"/>
      <c r="X45" s="7"/>
      <c r="Y45" s="75"/>
      <c r="Z45" s="15"/>
      <c r="AA45" s="7"/>
      <c r="AB45" s="7"/>
    </row>
    <row r="46" spans="18:28" x14ac:dyDescent="0.25">
      <c r="R46" s="7"/>
      <c r="S46" s="242"/>
      <c r="T46" s="7"/>
      <c r="U46" s="242"/>
      <c r="V46" s="7"/>
      <c r="W46" s="7"/>
      <c r="X46" s="7"/>
      <c r="Y46" s="75"/>
      <c r="Z46" s="15"/>
      <c r="AA46" s="7"/>
      <c r="AB46" s="7"/>
    </row>
    <row r="47" spans="18:28" x14ac:dyDescent="0.25">
      <c r="R47" s="7"/>
      <c r="S47" s="242"/>
      <c r="T47" s="7"/>
      <c r="U47" s="242"/>
      <c r="V47" s="7"/>
      <c r="W47" s="7"/>
      <c r="X47" s="7"/>
      <c r="Y47" s="75"/>
      <c r="Z47" s="15"/>
      <c r="AA47" s="7"/>
      <c r="AB47" s="7"/>
    </row>
    <row r="48" spans="18:28" x14ac:dyDescent="0.25">
      <c r="R48" s="7"/>
      <c r="S48" s="242"/>
      <c r="T48" s="7"/>
      <c r="U48" s="242"/>
      <c r="V48" s="7"/>
      <c r="W48" s="7"/>
      <c r="X48" s="7"/>
      <c r="Y48" s="75"/>
      <c r="Z48" s="15"/>
      <c r="AA48" s="7"/>
      <c r="AB48" s="7"/>
    </row>
    <row r="49" spans="18:28" x14ac:dyDescent="0.25">
      <c r="R49" s="7"/>
      <c r="S49" s="242"/>
      <c r="T49" s="7"/>
      <c r="U49" s="242"/>
      <c r="V49" s="7"/>
      <c r="W49" s="7"/>
      <c r="X49" s="7"/>
      <c r="Y49" s="75"/>
      <c r="Z49" s="15"/>
      <c r="AA49" s="7"/>
      <c r="AB49" s="7"/>
    </row>
    <row r="50" spans="18:28" x14ac:dyDescent="0.25">
      <c r="R50" s="7"/>
      <c r="S50" s="242"/>
      <c r="T50" s="7"/>
      <c r="U50" s="242"/>
      <c r="V50" s="7"/>
      <c r="W50" s="7"/>
      <c r="X50" s="7"/>
      <c r="Y50" s="75"/>
      <c r="Z50" s="7"/>
      <c r="AA50" s="7"/>
      <c r="AB50" s="7"/>
    </row>
    <row r="51" spans="18:28" x14ac:dyDescent="0.25">
      <c r="R51" s="7"/>
      <c r="S51" s="242"/>
      <c r="T51" s="7"/>
      <c r="U51" s="242"/>
      <c r="V51" s="7"/>
      <c r="W51" s="7"/>
      <c r="X51" s="7"/>
      <c r="Y51" s="75"/>
      <c r="Z51" s="7"/>
      <c r="AA51" s="7"/>
      <c r="AB51" s="7"/>
    </row>
    <row r="52" spans="18:28" x14ac:dyDescent="0.25">
      <c r="R52" s="7"/>
      <c r="S52" s="242"/>
      <c r="T52" s="7"/>
      <c r="U52" s="242"/>
      <c r="V52" s="7"/>
      <c r="W52" s="7"/>
      <c r="X52" s="7"/>
      <c r="Y52" s="75"/>
      <c r="Z52" s="7"/>
      <c r="AA52" s="7"/>
      <c r="AB52" s="7"/>
    </row>
    <row r="53" spans="18:28" x14ac:dyDescent="0.25">
      <c r="R53" s="7"/>
      <c r="S53" s="242"/>
      <c r="T53" s="7"/>
      <c r="U53" s="242"/>
      <c r="V53" s="7"/>
      <c r="W53" s="7"/>
      <c r="X53" s="7"/>
      <c r="Y53" s="75"/>
      <c r="Z53" s="7"/>
      <c r="AA53" s="7"/>
      <c r="AB53" s="7"/>
    </row>
    <row r="54" spans="18:28" x14ac:dyDescent="0.25">
      <c r="R54" s="7"/>
      <c r="S54" s="242"/>
      <c r="T54" s="7"/>
      <c r="U54" s="242"/>
      <c r="V54" s="7"/>
      <c r="W54" s="7"/>
      <c r="X54" s="7"/>
      <c r="Y54" s="75"/>
      <c r="Z54" s="7"/>
      <c r="AA54" s="7"/>
      <c r="AB54" s="7"/>
    </row>
    <row r="55" spans="18:28" x14ac:dyDescent="0.25">
      <c r="R55" s="7"/>
      <c r="S55" s="242"/>
      <c r="T55" s="7"/>
      <c r="U55" s="242"/>
      <c r="V55" s="7"/>
      <c r="W55" s="7"/>
      <c r="X55" s="7"/>
      <c r="Y55" s="75"/>
      <c r="Z55" s="7"/>
      <c r="AA55" s="7"/>
      <c r="AB55" s="7"/>
    </row>
    <row r="56" spans="18:28" x14ac:dyDescent="0.25">
      <c r="R56" s="7"/>
      <c r="S56" s="242"/>
      <c r="T56" s="7"/>
      <c r="U56" s="242"/>
      <c r="V56" s="7"/>
      <c r="W56" s="7"/>
      <c r="X56" s="7"/>
      <c r="Y56" s="75"/>
      <c r="Z56" s="7"/>
      <c r="AA56" s="7"/>
      <c r="AB56" s="7"/>
    </row>
    <row r="57" spans="18:28" x14ac:dyDescent="0.25">
      <c r="R57" s="7"/>
      <c r="S57" s="242"/>
      <c r="T57" s="7"/>
      <c r="U57" s="242"/>
      <c r="V57" s="7"/>
      <c r="W57" s="7"/>
      <c r="X57" s="7"/>
      <c r="Y57" s="75"/>
      <c r="Z57" s="7"/>
      <c r="AA57" s="7"/>
      <c r="AB57" s="7"/>
    </row>
    <row r="58" spans="18:28" x14ac:dyDescent="0.25">
      <c r="R58" s="7"/>
      <c r="S58" s="242"/>
      <c r="T58" s="7"/>
      <c r="U58" s="242"/>
      <c r="V58" s="7"/>
      <c r="W58" s="7"/>
      <c r="X58" s="7"/>
      <c r="Y58" s="75"/>
      <c r="Z58" s="7"/>
      <c r="AA58" s="7"/>
      <c r="AB58" s="7"/>
    </row>
    <row r="59" spans="18:28" x14ac:dyDescent="0.25">
      <c r="R59" s="7"/>
      <c r="S59" s="242"/>
      <c r="T59" s="7"/>
      <c r="U59" s="242"/>
      <c r="V59" s="7"/>
      <c r="W59" s="7"/>
      <c r="X59" s="7"/>
      <c r="Y59" s="75"/>
      <c r="Z59" s="15"/>
      <c r="AA59" s="7"/>
      <c r="AB59" s="7"/>
    </row>
    <row r="60" spans="18:28" x14ac:dyDescent="0.25">
      <c r="R60" s="7"/>
      <c r="S60" s="242"/>
      <c r="T60" s="7"/>
      <c r="U60" s="242"/>
      <c r="V60" s="7"/>
      <c r="W60" s="7"/>
      <c r="X60" s="7"/>
      <c r="Y60" s="75"/>
      <c r="Z60" s="15"/>
      <c r="AA60" s="7"/>
      <c r="AB60" s="7"/>
    </row>
    <row r="61" spans="18:28" x14ac:dyDescent="0.25">
      <c r="R61" s="7"/>
      <c r="S61" s="242"/>
      <c r="T61" s="7"/>
      <c r="U61" s="242"/>
      <c r="V61" s="7"/>
      <c r="W61" s="7"/>
      <c r="X61" s="7"/>
      <c r="Y61" s="75"/>
      <c r="Z61" s="15"/>
      <c r="AA61" s="7"/>
      <c r="AB61" s="7"/>
    </row>
    <row r="62" spans="18:28" x14ac:dyDescent="0.25">
      <c r="R62" s="7"/>
      <c r="S62" s="242"/>
      <c r="T62" s="7"/>
      <c r="U62" s="242"/>
      <c r="V62" s="7"/>
      <c r="W62" s="7"/>
      <c r="X62" s="7"/>
      <c r="Y62" s="75"/>
      <c r="Z62" s="15"/>
      <c r="AA62" s="7"/>
      <c r="AB62" s="7"/>
    </row>
    <row r="63" spans="18:28" x14ac:dyDescent="0.25">
      <c r="R63" s="7"/>
      <c r="S63" s="242"/>
      <c r="T63" s="7"/>
      <c r="U63" s="242"/>
      <c r="V63" s="7"/>
      <c r="W63" s="7"/>
      <c r="X63" s="7"/>
      <c r="Y63" s="75"/>
      <c r="Z63" s="15"/>
      <c r="AA63" s="7"/>
      <c r="AB63" s="7"/>
    </row>
    <row r="64" spans="18:28" x14ac:dyDescent="0.25">
      <c r="R64" s="7"/>
      <c r="S64" s="242"/>
      <c r="T64" s="7"/>
      <c r="U64" s="242"/>
      <c r="V64" s="7"/>
      <c r="W64" s="7"/>
      <c r="X64" s="7"/>
      <c r="Y64" s="75"/>
      <c r="Z64" s="15"/>
      <c r="AA64" s="7"/>
      <c r="AB64" s="7"/>
    </row>
    <row r="65" spans="18:28" x14ac:dyDescent="0.25">
      <c r="R65" s="7"/>
      <c r="S65" s="242"/>
      <c r="T65" s="7"/>
      <c r="U65" s="242"/>
      <c r="V65" s="7"/>
      <c r="W65" s="7"/>
      <c r="X65" s="7"/>
      <c r="Y65" s="75"/>
      <c r="Z65" s="15"/>
      <c r="AA65" s="7"/>
      <c r="AB65" s="7"/>
    </row>
    <row r="66" spans="18:28" x14ac:dyDescent="0.25">
      <c r="R66" s="7"/>
      <c r="S66" s="242"/>
      <c r="T66" s="7"/>
      <c r="U66" s="242"/>
      <c r="V66" s="7"/>
      <c r="W66" s="7"/>
      <c r="X66" s="7"/>
      <c r="Y66" s="75"/>
      <c r="Z66" s="15"/>
      <c r="AA66" s="7"/>
      <c r="AB66" s="7"/>
    </row>
    <row r="67" spans="18:28" x14ac:dyDescent="0.25">
      <c r="R67" s="7"/>
      <c r="S67" s="242"/>
      <c r="T67" s="7"/>
      <c r="U67" s="242"/>
      <c r="V67" s="7"/>
      <c r="W67" s="7"/>
      <c r="X67" s="7"/>
      <c r="Y67" s="75"/>
      <c r="Z67" s="15"/>
      <c r="AA67" s="7"/>
      <c r="AB67" s="7"/>
    </row>
    <row r="68" spans="18:28" x14ac:dyDescent="0.25">
      <c r="R68" s="7"/>
      <c r="S68" s="242"/>
      <c r="T68" s="7"/>
      <c r="U68" s="242"/>
      <c r="V68" s="7"/>
      <c r="W68" s="7"/>
      <c r="X68" s="7"/>
      <c r="Y68" s="75"/>
      <c r="Z68" s="7"/>
      <c r="AA68" s="7"/>
      <c r="AB68" s="7"/>
    </row>
    <row r="69" spans="18:28" x14ac:dyDescent="0.25">
      <c r="R69" s="7"/>
      <c r="S69" s="242"/>
      <c r="T69" s="7"/>
      <c r="U69" s="242"/>
      <c r="V69" s="7"/>
      <c r="W69" s="7"/>
      <c r="X69" s="7"/>
      <c r="Y69" s="75"/>
      <c r="Z69" s="7"/>
      <c r="AA69" s="7"/>
      <c r="AB69" s="7"/>
    </row>
    <row r="70" spans="18:28" x14ac:dyDescent="0.25">
      <c r="R70" s="7"/>
      <c r="S70" s="242"/>
      <c r="T70" s="7"/>
      <c r="U70" s="242"/>
      <c r="V70" s="7"/>
      <c r="W70" s="7"/>
      <c r="X70" s="7"/>
      <c r="Y70" s="75"/>
      <c r="Z70" s="7"/>
      <c r="AA70" s="7"/>
      <c r="AB70" s="7"/>
    </row>
    <row r="71" spans="18:28" x14ac:dyDescent="0.25">
      <c r="R71" s="7"/>
      <c r="S71" s="242"/>
      <c r="T71" s="7"/>
      <c r="U71" s="242"/>
      <c r="V71" s="7"/>
      <c r="W71" s="7"/>
      <c r="X71" s="7"/>
      <c r="Y71" s="75"/>
      <c r="Z71" s="7"/>
      <c r="AA71" s="7"/>
      <c r="AB71" s="7"/>
    </row>
    <row r="72" spans="18:28" x14ac:dyDescent="0.25">
      <c r="R72" s="7"/>
      <c r="S72" s="242"/>
      <c r="T72" s="7"/>
      <c r="U72" s="242"/>
      <c r="V72" s="7"/>
      <c r="W72" s="7"/>
      <c r="X72" s="7"/>
      <c r="Y72" s="75"/>
      <c r="Z72" s="7"/>
      <c r="AA72" s="7"/>
      <c r="AB72" s="7"/>
    </row>
    <row r="73" spans="18:28" x14ac:dyDescent="0.25">
      <c r="R73" s="7"/>
      <c r="S73" s="242"/>
      <c r="T73" s="7"/>
      <c r="U73" s="242"/>
      <c r="V73" s="7"/>
      <c r="W73" s="7"/>
      <c r="X73" s="7"/>
      <c r="Y73" s="75"/>
      <c r="Z73" s="7"/>
      <c r="AA73" s="7"/>
      <c r="AB73" s="7"/>
    </row>
    <row r="74" spans="18:28" x14ac:dyDescent="0.25">
      <c r="R74" s="7"/>
      <c r="S74" s="242"/>
      <c r="T74" s="7"/>
      <c r="U74" s="242"/>
      <c r="V74" s="7"/>
      <c r="W74" s="7"/>
      <c r="X74" s="7"/>
      <c r="Y74" s="75"/>
      <c r="Z74" s="7"/>
      <c r="AA74" s="7"/>
      <c r="AB74" s="7"/>
    </row>
    <row r="75" spans="18:28" x14ac:dyDescent="0.25">
      <c r="R75" s="7"/>
      <c r="S75" s="242"/>
      <c r="T75" s="7"/>
      <c r="U75" s="242"/>
      <c r="V75" s="7"/>
      <c r="W75" s="7"/>
      <c r="X75" s="7"/>
      <c r="Y75" s="75"/>
      <c r="Z75" s="7"/>
      <c r="AA75" s="7"/>
      <c r="AB75" s="7"/>
    </row>
    <row r="76" spans="18:28" x14ac:dyDescent="0.25">
      <c r="R76" s="7"/>
      <c r="S76" s="242"/>
      <c r="T76" s="7"/>
      <c r="U76" s="242"/>
      <c r="V76" s="7"/>
      <c r="W76" s="7"/>
      <c r="X76" s="7"/>
      <c r="Y76" s="75"/>
      <c r="Z76" s="7"/>
      <c r="AA76" s="7"/>
      <c r="AB76" s="7"/>
    </row>
    <row r="77" spans="18:28" x14ac:dyDescent="0.25">
      <c r="R77" s="7"/>
      <c r="S77" s="242"/>
      <c r="T77" s="7"/>
      <c r="U77" s="242"/>
      <c r="V77" s="7"/>
      <c r="W77" s="7"/>
      <c r="X77" s="7"/>
      <c r="Y77" s="75"/>
      <c r="Z77" s="15"/>
      <c r="AA77" s="7"/>
      <c r="AB77" s="7"/>
    </row>
    <row r="78" spans="18:28" x14ac:dyDescent="0.25">
      <c r="R78" s="7"/>
      <c r="S78" s="242"/>
      <c r="T78" s="7"/>
      <c r="U78" s="242"/>
      <c r="V78" s="7"/>
      <c r="W78" s="7"/>
      <c r="X78" s="7"/>
      <c r="Y78" s="75"/>
      <c r="Z78" s="15"/>
      <c r="AA78" s="7"/>
      <c r="AB78" s="7"/>
    </row>
    <row r="79" spans="18:28" x14ac:dyDescent="0.25">
      <c r="R79" s="7"/>
      <c r="S79" s="242"/>
      <c r="T79" s="7"/>
      <c r="U79" s="242"/>
      <c r="V79" s="7"/>
      <c r="W79" s="7"/>
      <c r="X79" s="7"/>
      <c r="Y79" s="75"/>
      <c r="Z79" s="15"/>
      <c r="AA79" s="7"/>
      <c r="AB79" s="7"/>
    </row>
    <row r="80" spans="18:28" x14ac:dyDescent="0.25">
      <c r="R80" s="7"/>
      <c r="S80" s="242"/>
      <c r="T80" s="7"/>
      <c r="U80" s="242"/>
      <c r="V80" s="7"/>
      <c r="W80" s="7"/>
      <c r="X80" s="7"/>
      <c r="Y80" s="75"/>
      <c r="Z80" s="15"/>
      <c r="AA80" s="7"/>
      <c r="AB80" s="7"/>
    </row>
    <row r="81" spans="18:28" x14ac:dyDescent="0.25">
      <c r="R81" s="7"/>
      <c r="S81" s="242"/>
      <c r="T81" s="7"/>
      <c r="U81" s="242"/>
      <c r="V81" s="7"/>
      <c r="W81" s="7"/>
      <c r="X81" s="7"/>
      <c r="Y81" s="75"/>
      <c r="Z81" s="15"/>
      <c r="AA81" s="7"/>
      <c r="AB81" s="7"/>
    </row>
    <row r="82" spans="18:28" x14ac:dyDescent="0.25">
      <c r="R82" s="7"/>
      <c r="S82" s="242"/>
      <c r="T82" s="7"/>
      <c r="U82" s="242"/>
      <c r="V82" s="7"/>
      <c r="W82" s="7"/>
      <c r="X82" s="7"/>
      <c r="Y82" s="75"/>
      <c r="Z82" s="15"/>
      <c r="AA82" s="7"/>
      <c r="AB82" s="7"/>
    </row>
    <row r="83" spans="18:28" x14ac:dyDescent="0.25">
      <c r="R83" s="7"/>
      <c r="S83" s="242"/>
      <c r="T83" s="7"/>
      <c r="U83" s="242"/>
      <c r="V83" s="7"/>
      <c r="W83" s="7"/>
      <c r="X83" s="7"/>
      <c r="Y83" s="75"/>
      <c r="Z83" s="15"/>
      <c r="AA83" s="7"/>
      <c r="AB83" s="7"/>
    </row>
    <row r="84" spans="18:28" x14ac:dyDescent="0.25">
      <c r="R84" s="7"/>
      <c r="S84" s="242"/>
      <c r="T84" s="7"/>
      <c r="U84" s="242"/>
      <c r="V84" s="7"/>
      <c r="W84" s="7"/>
      <c r="X84" s="7"/>
      <c r="Y84" s="75"/>
      <c r="Z84" s="15"/>
      <c r="AA84" s="7"/>
      <c r="AB84" s="7"/>
    </row>
    <row r="85" spans="18:28" x14ac:dyDescent="0.25">
      <c r="R85" s="7"/>
      <c r="S85" s="242"/>
      <c r="T85" s="7"/>
      <c r="U85" s="242"/>
      <c r="V85" s="7"/>
      <c r="W85" s="7"/>
      <c r="X85" s="7"/>
      <c r="Y85" s="75"/>
      <c r="Z85" s="15"/>
      <c r="AA85" s="7"/>
      <c r="AB85" s="7"/>
    </row>
  </sheetData>
  <mergeCells count="9">
    <mergeCell ref="AG1:AN1"/>
    <mergeCell ref="AO1:AV1"/>
    <mergeCell ref="AW1:BD1"/>
    <mergeCell ref="H1:I1"/>
    <mergeCell ref="C1:E1"/>
    <mergeCell ref="F1:G1"/>
    <mergeCell ref="J1:L1"/>
    <mergeCell ref="M1:X1"/>
    <mergeCell ref="Y1:AF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E241A-288A-4D4E-B2B0-CB93B63DA395}">
  <dimension ref="A1:V145"/>
  <sheetViews>
    <sheetView topLeftCell="A22" workbookViewId="0">
      <selection activeCell="F1" sqref="F1:M1"/>
    </sheetView>
  </sheetViews>
  <sheetFormatPr defaultRowHeight="15" x14ac:dyDescent="0.25"/>
  <cols>
    <col min="6" max="6" width="9.85546875" bestFit="1" customWidth="1"/>
    <col min="11" max="11" width="9.140625" style="78"/>
    <col min="13" max="13" width="19.5703125" bestFit="1" customWidth="1"/>
    <col min="15" max="16" width="7.85546875" customWidth="1"/>
    <col min="17" max="17" width="7.85546875" style="78" customWidth="1"/>
    <col min="18" max="22" width="7.85546875" customWidth="1"/>
  </cols>
  <sheetData>
    <row r="1" spans="1:22" x14ac:dyDescent="0.25">
      <c r="F1" s="88" t="s">
        <v>53</v>
      </c>
      <c r="G1" s="88" t="s">
        <v>9</v>
      </c>
      <c r="H1" s="241" t="s">
        <v>18</v>
      </c>
      <c r="I1" s="241" t="s">
        <v>22</v>
      </c>
      <c r="J1" s="88" t="s">
        <v>329</v>
      </c>
      <c r="K1" s="88" t="s">
        <v>21</v>
      </c>
      <c r="L1" s="88" t="s">
        <v>20</v>
      </c>
      <c r="M1" s="88" t="s">
        <v>520</v>
      </c>
      <c r="O1" s="145" t="s">
        <v>509</v>
      </c>
      <c r="P1" s="145"/>
      <c r="Q1" s="145"/>
      <c r="R1" s="145"/>
      <c r="S1" s="145"/>
      <c r="T1" s="145"/>
      <c r="U1" s="145"/>
      <c r="V1" s="145"/>
    </row>
    <row r="2" spans="1:22" x14ac:dyDescent="0.25">
      <c r="A2" s="78">
        <v>4</v>
      </c>
      <c r="B2" s="16" t="s">
        <v>49</v>
      </c>
      <c r="C2" s="78" t="s">
        <v>509</v>
      </c>
      <c r="D2" s="16" t="s">
        <v>49</v>
      </c>
      <c r="E2" s="78" t="s">
        <v>50</v>
      </c>
      <c r="F2" s="78" t="str">
        <f t="shared" ref="F2:F65" si="0">CONCATENATE(A2,B2,C2,D2,E2)</f>
        <v>4-1R-50L</v>
      </c>
      <c r="G2" s="78" t="s">
        <v>0</v>
      </c>
      <c r="H2" s="75">
        <v>112</v>
      </c>
      <c r="I2">
        <v>0.5</v>
      </c>
      <c r="J2" s="78">
        <v>0.5</v>
      </c>
      <c r="K2" s="75">
        <v>6.46</v>
      </c>
      <c r="L2" s="75">
        <v>0.03</v>
      </c>
      <c r="M2" s="240" t="s">
        <v>507</v>
      </c>
      <c r="O2" t="s">
        <v>22</v>
      </c>
      <c r="P2" t="s">
        <v>511</v>
      </c>
      <c r="Q2" s="78" t="s">
        <v>513</v>
      </c>
      <c r="R2" t="s">
        <v>512</v>
      </c>
      <c r="S2" t="s">
        <v>514</v>
      </c>
      <c r="T2" t="s">
        <v>517</v>
      </c>
      <c r="U2" t="s">
        <v>518</v>
      </c>
      <c r="V2" t="s">
        <v>519</v>
      </c>
    </row>
    <row r="3" spans="1:22" s="78" customFormat="1" x14ac:dyDescent="0.25">
      <c r="A3" s="78">
        <v>5</v>
      </c>
      <c r="B3" s="16" t="s">
        <v>49</v>
      </c>
      <c r="C3" s="78" t="s">
        <v>509</v>
      </c>
      <c r="D3" s="16" t="s">
        <v>49</v>
      </c>
      <c r="E3" s="78" t="s">
        <v>50</v>
      </c>
      <c r="F3" s="78" t="str">
        <f t="shared" si="0"/>
        <v>5-1R-50L</v>
      </c>
      <c r="G3" s="78" t="s">
        <v>8</v>
      </c>
      <c r="H3" s="75">
        <v>175</v>
      </c>
      <c r="I3" s="78">
        <v>0.5</v>
      </c>
      <c r="J3" s="78">
        <v>0.5</v>
      </c>
      <c r="K3" s="75">
        <v>7.79</v>
      </c>
      <c r="L3" s="75">
        <v>0.05</v>
      </c>
      <c r="M3" s="240" t="s">
        <v>508</v>
      </c>
      <c r="O3" s="77" t="str">
        <f>CONCATENATE(I2,D2,I11)</f>
        <v>0.5-2.5</v>
      </c>
      <c r="P3" s="77" t="str">
        <f>CONCATENATE(J2,$D2,J11)</f>
        <v>0.5-8.29</v>
      </c>
      <c r="Q3" s="77">
        <f>H2</f>
        <v>112</v>
      </c>
      <c r="R3" s="77" t="str">
        <f>CONCATENATE(K2,$D2,K11)</f>
        <v>6.46-7.72</v>
      </c>
      <c r="S3" s="77">
        <f>L2</f>
        <v>0.03</v>
      </c>
      <c r="T3" s="77">
        <f>H38</f>
        <v>180</v>
      </c>
      <c r="U3" s="77" t="str">
        <f>CONCATENATE(K38,$D2,K47)</f>
        <v>7.88-9.9</v>
      </c>
      <c r="V3" s="77">
        <f>L38</f>
        <v>0.05</v>
      </c>
    </row>
    <row r="4" spans="1:22" s="78" customFormat="1" x14ac:dyDescent="0.25">
      <c r="A4" s="78">
        <v>6</v>
      </c>
      <c r="B4" s="16" t="s">
        <v>49</v>
      </c>
      <c r="C4" s="78" t="s">
        <v>509</v>
      </c>
      <c r="D4" s="16" t="s">
        <v>49</v>
      </c>
      <c r="E4" s="78" t="s">
        <v>50</v>
      </c>
      <c r="F4" s="78" t="str">
        <f t="shared" si="0"/>
        <v>6-1R-50L</v>
      </c>
      <c r="G4" s="78" t="s">
        <v>1</v>
      </c>
      <c r="H4" s="75">
        <v>250</v>
      </c>
      <c r="I4" s="78">
        <v>0.5</v>
      </c>
      <c r="J4" s="78">
        <v>0.5</v>
      </c>
      <c r="K4" s="75">
        <v>9.01</v>
      </c>
      <c r="L4" s="75">
        <v>0.12</v>
      </c>
      <c r="M4" s="240" t="s">
        <v>95</v>
      </c>
      <c r="O4" s="77" t="str">
        <f>CONCATENATE(I3,D3,I12)</f>
        <v>0.5-2.5</v>
      </c>
      <c r="P4" s="77" t="str">
        <f>CONCATENATE(J3,D3,J12)</f>
        <v>0.5-8.3</v>
      </c>
      <c r="Q4" s="77">
        <f>H3</f>
        <v>175</v>
      </c>
      <c r="R4" s="77" t="str">
        <f>CONCATENATE(K3,$D3,K12)</f>
        <v>7.79-9.75</v>
      </c>
      <c r="S4" s="77">
        <f>L3</f>
        <v>0.05</v>
      </c>
      <c r="T4" s="77">
        <f>H39</f>
        <v>280</v>
      </c>
      <c r="U4" s="77" t="str">
        <f>CONCATENATE(K39,$D3,K48)</f>
        <v>9.43-12.52</v>
      </c>
      <c r="V4" s="77">
        <f>L39</f>
        <v>0.09</v>
      </c>
    </row>
    <row r="5" spans="1:22" s="78" customFormat="1" x14ac:dyDescent="0.25">
      <c r="A5" s="78">
        <v>8</v>
      </c>
      <c r="B5" s="16" t="s">
        <v>49</v>
      </c>
      <c r="C5" s="78" t="s">
        <v>509</v>
      </c>
      <c r="D5" s="16" t="s">
        <v>49</v>
      </c>
      <c r="E5" s="78" t="s">
        <v>50</v>
      </c>
      <c r="F5" s="78" t="str">
        <f t="shared" si="0"/>
        <v>8-1R-50L</v>
      </c>
      <c r="G5" s="78" t="s">
        <v>2</v>
      </c>
      <c r="H5" s="75">
        <v>450</v>
      </c>
      <c r="I5" s="78">
        <v>0.6</v>
      </c>
      <c r="J5" s="78">
        <v>0.92</v>
      </c>
      <c r="K5" s="75">
        <v>13.79</v>
      </c>
      <c r="L5" s="75">
        <v>0.13</v>
      </c>
      <c r="M5" s="240" t="s">
        <v>96</v>
      </c>
      <c r="O5" s="77" t="str">
        <f>CONCATENATE(I4,D4,I13)</f>
        <v>0.5-2.5</v>
      </c>
      <c r="P5" s="77" t="str">
        <f>CONCATENATE(J4,D4,J13)</f>
        <v>0.5-8.32</v>
      </c>
      <c r="Q5" s="77">
        <f>H4</f>
        <v>250</v>
      </c>
      <c r="R5" s="77" t="str">
        <f>CONCATENATE(K4,$D4,K13)</f>
        <v>9.01-11.78</v>
      </c>
      <c r="S5" s="77">
        <f>L4</f>
        <v>0.12</v>
      </c>
      <c r="T5" s="77">
        <f>H40</f>
        <v>400</v>
      </c>
      <c r="U5" s="77" t="str">
        <f>CONCATENATE(K40,$D4,K49)</f>
        <v>10.85-15.19</v>
      </c>
      <c r="V5" s="77">
        <f>L40</f>
        <v>0.28000000000000003</v>
      </c>
    </row>
    <row r="6" spans="1:22" s="78" customFormat="1" x14ac:dyDescent="0.25">
      <c r="A6" s="78">
        <v>10</v>
      </c>
      <c r="B6" s="16" t="s">
        <v>49</v>
      </c>
      <c r="C6" s="78" t="s">
        <v>509</v>
      </c>
      <c r="D6" s="16" t="s">
        <v>49</v>
      </c>
      <c r="E6" s="78" t="s">
        <v>50</v>
      </c>
      <c r="F6" s="78" t="str">
        <f t="shared" si="0"/>
        <v>10-1R-50L</v>
      </c>
      <c r="G6" s="78" t="s">
        <v>3</v>
      </c>
      <c r="H6" s="75">
        <v>700</v>
      </c>
      <c r="I6" s="78">
        <v>0.9</v>
      </c>
      <c r="J6" s="78">
        <v>2.57</v>
      </c>
      <c r="K6" s="75">
        <v>22.06</v>
      </c>
      <c r="L6" s="75">
        <v>0.12</v>
      </c>
      <c r="M6" s="240" t="s">
        <v>97</v>
      </c>
      <c r="O6" s="77" t="str">
        <f>CONCATENATE(I5,D5,I14)</f>
        <v>0.6-2.5</v>
      </c>
      <c r="P6" s="77" t="str">
        <f>CONCATENATE(J5,D5,J14)</f>
        <v>0.92-11.08</v>
      </c>
      <c r="Q6" s="77">
        <f>H5</f>
        <v>450</v>
      </c>
      <c r="R6" s="77" t="str">
        <f>CONCATENATE(K5,$D5,K14)</f>
        <v>13.79-18.4</v>
      </c>
      <c r="S6" s="77">
        <f>L5</f>
        <v>0.13</v>
      </c>
      <c r="T6" s="77">
        <f>H41</f>
        <v>720</v>
      </c>
      <c r="U6" s="77" t="str">
        <f>CONCATENATE(K41,$D5,K50)</f>
        <v>16.4-23.63</v>
      </c>
      <c r="V6" s="77">
        <f>L41</f>
        <v>0.28000000000000003</v>
      </c>
    </row>
    <row r="7" spans="1:22" s="78" customFormat="1" x14ac:dyDescent="0.25">
      <c r="A7" s="78">
        <v>12</v>
      </c>
      <c r="B7" s="16" t="s">
        <v>49</v>
      </c>
      <c r="C7" s="78" t="s">
        <v>509</v>
      </c>
      <c r="D7" s="16" t="s">
        <v>49</v>
      </c>
      <c r="E7" s="78" t="s">
        <v>50</v>
      </c>
      <c r="F7" s="78" t="str">
        <f t="shared" si="0"/>
        <v>12-1R-50L</v>
      </c>
      <c r="G7" s="78" t="s">
        <v>4</v>
      </c>
      <c r="H7" s="75">
        <v>1000</v>
      </c>
      <c r="I7" s="78">
        <v>1.1000000000000001</v>
      </c>
      <c r="J7" s="78">
        <v>0.76</v>
      </c>
      <c r="K7" s="75">
        <v>28.66</v>
      </c>
      <c r="L7" s="75">
        <v>0.12</v>
      </c>
      <c r="M7" s="240" t="s">
        <v>98</v>
      </c>
      <c r="O7" s="77" t="str">
        <f>CONCATENATE(I6,D6,I15)</f>
        <v>0.9-2.5</v>
      </c>
      <c r="P7" s="77" t="str">
        <f>CONCATENATE(J6,D6,J15)</f>
        <v>2.57-15.29</v>
      </c>
      <c r="Q7" s="77">
        <f>H6</f>
        <v>700</v>
      </c>
      <c r="R7" s="77" t="str">
        <f>CONCATENATE(K6,$D6,K15)</f>
        <v>22.06-27.43</v>
      </c>
      <c r="S7" s="77">
        <f>L6</f>
        <v>0.12</v>
      </c>
      <c r="T7" s="77">
        <f>H42</f>
        <v>1120</v>
      </c>
      <c r="U7" s="77" t="str">
        <f>CONCATENATE(K42,$D6,K51)</f>
        <v>26.44-34.85</v>
      </c>
      <c r="V7" s="77">
        <f>L42</f>
        <v>0.24</v>
      </c>
    </row>
    <row r="8" spans="1:22" s="78" customFormat="1" x14ac:dyDescent="0.25">
      <c r="A8" s="78">
        <v>14</v>
      </c>
      <c r="B8" s="16" t="s">
        <v>49</v>
      </c>
      <c r="C8" s="78" t="s">
        <v>509</v>
      </c>
      <c r="D8" s="16" t="s">
        <v>49</v>
      </c>
      <c r="E8" s="78" t="s">
        <v>50</v>
      </c>
      <c r="F8" s="78" t="str">
        <f t="shared" si="0"/>
        <v>14-1R-50L</v>
      </c>
      <c r="G8" s="78" t="s">
        <v>5</v>
      </c>
      <c r="H8" s="75">
        <v>1500</v>
      </c>
      <c r="I8" s="78">
        <v>2</v>
      </c>
      <c r="J8" s="78">
        <v>1.1599999999999999</v>
      </c>
      <c r="K8" s="75">
        <v>45.16</v>
      </c>
      <c r="L8" s="75">
        <v>0.13</v>
      </c>
      <c r="M8" s="240" t="s">
        <v>99</v>
      </c>
      <c r="O8" s="77" t="str">
        <f>CONCATENATE(I7,D7,I16)</f>
        <v>1.1-5</v>
      </c>
      <c r="P8" s="77" t="str">
        <f>CONCATENATE(J7,D7,J16)</f>
        <v>0.76-11.77</v>
      </c>
      <c r="Q8" s="77">
        <f>H7</f>
        <v>1000</v>
      </c>
      <c r="R8" s="77" t="str">
        <f>CONCATENATE(K7,$D7,K16)</f>
        <v>28.66-40.1</v>
      </c>
      <c r="S8" s="77">
        <f>L7</f>
        <v>0.12</v>
      </c>
      <c r="T8" s="77">
        <f>H43</f>
        <v>1600</v>
      </c>
      <c r="U8" s="77" t="str">
        <f>CONCATENATE(K43,$D7,K52)</f>
        <v>33.63-51.4</v>
      </c>
      <c r="V8" s="77">
        <f>L43</f>
        <v>0.25</v>
      </c>
    </row>
    <row r="9" spans="1:22" s="78" customFormat="1" x14ac:dyDescent="0.25">
      <c r="A9" s="78">
        <v>16</v>
      </c>
      <c r="B9" s="16" t="s">
        <v>49</v>
      </c>
      <c r="C9" s="78" t="s">
        <v>509</v>
      </c>
      <c r="D9" s="16" t="s">
        <v>49</v>
      </c>
      <c r="E9" s="78" t="s">
        <v>50</v>
      </c>
      <c r="F9" s="78" t="str">
        <f t="shared" si="0"/>
        <v>16-1R-50L</v>
      </c>
      <c r="G9" s="78" t="s">
        <v>6</v>
      </c>
      <c r="H9" s="75">
        <v>2000</v>
      </c>
      <c r="I9" s="78">
        <v>2.2999999999999998</v>
      </c>
      <c r="J9" s="78">
        <v>1.65</v>
      </c>
      <c r="K9" s="75">
        <v>57.08</v>
      </c>
      <c r="L9" s="75">
        <v>0.15</v>
      </c>
      <c r="M9" s="240" t="s">
        <v>100</v>
      </c>
      <c r="O9" s="77" t="str">
        <f>CONCATENATE(I8,D8,I17)</f>
        <v>2-7</v>
      </c>
      <c r="P9" s="77" t="str">
        <f>CONCATENATE(J8,D8,J17)</f>
        <v>1.16-11.24</v>
      </c>
      <c r="Q9" s="77">
        <f>H8</f>
        <v>1500</v>
      </c>
      <c r="R9" s="77" t="str">
        <f>CONCATENATE(K8,$D8,K17)</f>
        <v>45.16-58.62</v>
      </c>
      <c r="S9" s="77">
        <f>L8</f>
        <v>0.13</v>
      </c>
      <c r="T9" s="77">
        <f>H44</f>
        <v>2400</v>
      </c>
      <c r="U9" s="77" t="str">
        <f>CONCATENATE(K44,$D8,K53)</f>
        <v>53.91-75</v>
      </c>
      <c r="V9" s="77">
        <f>L44</f>
        <v>0.26</v>
      </c>
    </row>
    <row r="10" spans="1:22" s="78" customFormat="1" ht="15.75" thickBot="1" x14ac:dyDescent="0.3">
      <c r="A10" s="78">
        <v>24</v>
      </c>
      <c r="B10" s="16" t="s">
        <v>49</v>
      </c>
      <c r="C10" s="78" t="s">
        <v>509</v>
      </c>
      <c r="D10" s="16" t="s">
        <v>49</v>
      </c>
      <c r="E10" s="78" t="s">
        <v>50</v>
      </c>
      <c r="F10" s="78" t="str">
        <f t="shared" si="0"/>
        <v>24-1R-50L</v>
      </c>
      <c r="G10" s="78" t="s">
        <v>7</v>
      </c>
      <c r="H10" s="13">
        <v>4000</v>
      </c>
      <c r="I10" s="78">
        <v>4</v>
      </c>
      <c r="J10" s="78">
        <v>4.91</v>
      </c>
      <c r="K10" s="75">
        <v>96.16</v>
      </c>
      <c r="L10" s="75">
        <v>0.41</v>
      </c>
      <c r="O10" s="77" t="str">
        <f>CONCATENATE(I9,D9,I18)</f>
        <v>2.3-7.5</v>
      </c>
      <c r="P10" s="77" t="str">
        <f>CONCATENATE(J9,D9,J18)</f>
        <v>1.65-13.99</v>
      </c>
      <c r="Q10" s="77">
        <f>H9</f>
        <v>2000</v>
      </c>
      <c r="R10" s="77" t="str">
        <f>CONCATENATE(K9,$D9,K18)</f>
        <v>57.08-74.16</v>
      </c>
      <c r="S10" s="77">
        <f>L9</f>
        <v>0.15</v>
      </c>
      <c r="T10" s="77">
        <f>H45</f>
        <v>3200</v>
      </c>
      <c r="U10" s="77" t="str">
        <f>CONCATENATE(K45,$D9,K54)</f>
        <v>67.87-94.61</v>
      </c>
      <c r="V10" s="77">
        <f>L45</f>
        <v>0.31</v>
      </c>
    </row>
    <row r="11" spans="1:22" s="78" customFormat="1" x14ac:dyDescent="0.25">
      <c r="A11" s="78">
        <v>4</v>
      </c>
      <c r="B11" s="16" t="s">
        <v>49</v>
      </c>
      <c r="C11" s="78" t="s">
        <v>509</v>
      </c>
      <c r="D11" s="16" t="s">
        <v>49</v>
      </c>
      <c r="E11" s="78" t="s">
        <v>92</v>
      </c>
      <c r="F11" s="78" t="str">
        <f t="shared" si="0"/>
        <v>4-1R-50H</v>
      </c>
      <c r="G11" s="78" t="s">
        <v>0</v>
      </c>
      <c r="H11" s="75">
        <v>112</v>
      </c>
      <c r="I11" s="78">
        <v>2.5</v>
      </c>
      <c r="J11" s="78">
        <v>8.2899999999999991</v>
      </c>
      <c r="K11" s="15">
        <v>7.72</v>
      </c>
      <c r="L11" s="15">
        <v>0.03</v>
      </c>
      <c r="M11" s="240" t="s">
        <v>325</v>
      </c>
      <c r="O11" s="77" t="str">
        <f>CONCATENATE(I10,D10,I19)</f>
        <v>4-7</v>
      </c>
      <c r="P11" s="77" t="str">
        <f>CONCATENATE(J10,D10,J19)</f>
        <v>4.91-13.49</v>
      </c>
      <c r="Q11" s="77">
        <f>H10</f>
        <v>4000</v>
      </c>
      <c r="R11" s="77" t="str">
        <f>CONCATENATE(K10,$D10,K19)</f>
        <v>96.16-111.02</v>
      </c>
      <c r="S11" s="77">
        <f>L10</f>
        <v>0.41</v>
      </c>
      <c r="T11" s="77">
        <f>H46</f>
        <v>5100</v>
      </c>
      <c r="U11" s="77" t="str">
        <f>CONCATENATE(K46,$D10,K55)</f>
        <v>106-124.93</v>
      </c>
      <c r="V11" s="77">
        <f>L46</f>
        <v>0.62</v>
      </c>
    </row>
    <row r="12" spans="1:22" s="78" customFormat="1" x14ac:dyDescent="0.25">
      <c r="A12" s="78">
        <v>5</v>
      </c>
      <c r="B12" s="16" t="s">
        <v>49</v>
      </c>
      <c r="C12" s="78" t="s">
        <v>509</v>
      </c>
      <c r="D12" s="16" t="s">
        <v>49</v>
      </c>
      <c r="E12" s="78" t="s">
        <v>92</v>
      </c>
      <c r="F12" s="78" t="str">
        <f t="shared" si="0"/>
        <v>5-1R-50H</v>
      </c>
      <c r="G12" s="78" t="s">
        <v>8</v>
      </c>
      <c r="H12" s="75">
        <v>175</v>
      </c>
      <c r="I12" s="78">
        <v>2.5</v>
      </c>
      <c r="J12" s="78">
        <v>8.3000000000000007</v>
      </c>
      <c r="K12" s="15">
        <v>9.75</v>
      </c>
      <c r="L12" s="15">
        <v>0.05</v>
      </c>
    </row>
    <row r="13" spans="1:22" s="78" customFormat="1" x14ac:dyDescent="0.25">
      <c r="A13" s="78">
        <v>6</v>
      </c>
      <c r="B13" s="16" t="s">
        <v>49</v>
      </c>
      <c r="C13" s="78" t="s">
        <v>509</v>
      </c>
      <c r="D13" s="16" t="s">
        <v>49</v>
      </c>
      <c r="E13" s="78" t="s">
        <v>92</v>
      </c>
      <c r="F13" s="78" t="str">
        <f t="shared" si="0"/>
        <v>6-1R-50H</v>
      </c>
      <c r="G13" s="78" t="s">
        <v>1</v>
      </c>
      <c r="H13" s="75">
        <v>250</v>
      </c>
      <c r="I13" s="78">
        <v>2.5</v>
      </c>
      <c r="J13" s="78">
        <v>8.32</v>
      </c>
      <c r="K13" s="15">
        <v>11.78</v>
      </c>
      <c r="L13" s="15">
        <v>0.12</v>
      </c>
      <c r="O13" s="145" t="s">
        <v>510</v>
      </c>
      <c r="P13" s="145"/>
      <c r="Q13" s="145"/>
      <c r="R13" s="145"/>
      <c r="S13" s="145"/>
      <c r="T13" s="145"/>
      <c r="U13" s="145"/>
      <c r="V13" s="145"/>
    </row>
    <row r="14" spans="1:22" s="78" customFormat="1" x14ac:dyDescent="0.25">
      <c r="A14" s="78">
        <v>8</v>
      </c>
      <c r="B14" s="16" t="s">
        <v>49</v>
      </c>
      <c r="C14" s="78" t="s">
        <v>509</v>
      </c>
      <c r="D14" s="16" t="s">
        <v>49</v>
      </c>
      <c r="E14" s="78" t="s">
        <v>92</v>
      </c>
      <c r="F14" s="78" t="str">
        <f t="shared" si="0"/>
        <v>8-1R-50H</v>
      </c>
      <c r="G14" s="78" t="s">
        <v>2</v>
      </c>
      <c r="H14" s="75">
        <v>450</v>
      </c>
      <c r="I14" s="78">
        <v>2.5</v>
      </c>
      <c r="J14" s="78">
        <v>11.08</v>
      </c>
      <c r="K14" s="15">
        <v>18.399999999999999</v>
      </c>
      <c r="L14" s="15">
        <v>0.13</v>
      </c>
      <c r="O14" s="78" t="s">
        <v>22</v>
      </c>
      <c r="P14" s="78" t="s">
        <v>511</v>
      </c>
      <c r="Q14" s="78" t="s">
        <v>513</v>
      </c>
      <c r="R14" s="78" t="s">
        <v>512</v>
      </c>
      <c r="S14" s="78" t="s">
        <v>514</v>
      </c>
      <c r="T14" s="78" t="s">
        <v>517</v>
      </c>
      <c r="U14" s="78" t="s">
        <v>518</v>
      </c>
      <c r="V14" s="78" t="s">
        <v>519</v>
      </c>
    </row>
    <row r="15" spans="1:22" s="78" customFormat="1" x14ac:dyDescent="0.25">
      <c r="A15" s="78">
        <v>10</v>
      </c>
      <c r="B15" s="16" t="s">
        <v>49</v>
      </c>
      <c r="C15" s="78" t="s">
        <v>509</v>
      </c>
      <c r="D15" s="16" t="s">
        <v>49</v>
      </c>
      <c r="E15" s="78" t="s">
        <v>92</v>
      </c>
      <c r="F15" s="78" t="str">
        <f t="shared" si="0"/>
        <v>10-1R-50H</v>
      </c>
      <c r="G15" s="78" t="s">
        <v>3</v>
      </c>
      <c r="H15" s="75">
        <v>700</v>
      </c>
      <c r="I15" s="78">
        <v>2.5</v>
      </c>
      <c r="J15" s="78">
        <v>15.29</v>
      </c>
      <c r="K15" s="15">
        <v>27.43</v>
      </c>
      <c r="L15" s="15">
        <v>0.12</v>
      </c>
      <c r="O15" s="77" t="str">
        <f>CONCATENATE(I20,D20,I29)</f>
        <v>0.5-2.5</v>
      </c>
      <c r="P15" s="77" t="str">
        <f>CONCATENATE(J20,$D20,J29)</f>
        <v>0.17-3</v>
      </c>
      <c r="Q15" s="77">
        <f>H20</f>
        <v>112</v>
      </c>
      <c r="R15" s="77" t="str">
        <f>CONCATENATE(K20,$D20,K29)</f>
        <v>9.07-11.17</v>
      </c>
      <c r="S15" s="78">
        <f>L20</f>
        <v>0.05</v>
      </c>
      <c r="T15" s="78">
        <f>H56</f>
        <v>180</v>
      </c>
      <c r="U15" s="77" t="str">
        <f>CONCATENATE(K56,$D56,K65)</f>
        <v>11.46-15.61</v>
      </c>
      <c r="V15" s="78">
        <f>L56</f>
        <v>0.09</v>
      </c>
    </row>
    <row r="16" spans="1:22" s="78" customFormat="1" x14ac:dyDescent="0.25">
      <c r="A16" s="78">
        <v>12</v>
      </c>
      <c r="B16" s="16" t="s">
        <v>49</v>
      </c>
      <c r="C16" s="78" t="s">
        <v>509</v>
      </c>
      <c r="D16" s="16" t="s">
        <v>49</v>
      </c>
      <c r="E16" s="78" t="s">
        <v>92</v>
      </c>
      <c r="F16" s="78" t="str">
        <f t="shared" si="0"/>
        <v>12-1R-50H</v>
      </c>
      <c r="G16" s="78" t="s">
        <v>4</v>
      </c>
      <c r="H16" s="75">
        <v>1000</v>
      </c>
      <c r="I16" s="78">
        <v>5</v>
      </c>
      <c r="J16" s="78">
        <v>11.77</v>
      </c>
      <c r="K16" s="15">
        <v>40.1</v>
      </c>
      <c r="L16" s="15">
        <v>0.12</v>
      </c>
      <c r="O16" s="77" t="str">
        <f t="shared" ref="O16:O23" si="1">CONCATENATE(I21,D21,I30)</f>
        <v>0.5-2.5</v>
      </c>
      <c r="P16" s="77" t="str">
        <f t="shared" ref="P16:P23" si="2">CONCATENATE(J21,$D21,J30)</f>
        <v>0.17-3</v>
      </c>
      <c r="Q16" s="77">
        <f t="shared" ref="Q16:Q23" si="3">H21</f>
        <v>175</v>
      </c>
      <c r="R16" s="77" t="str">
        <f t="shared" ref="R16:R23" si="4">CONCATENATE(K21,$D21,K30)</f>
        <v>11.32-15.32</v>
      </c>
      <c r="S16" s="78">
        <f t="shared" ref="S16:S23" si="5">L21</f>
        <v>0.09</v>
      </c>
      <c r="T16" s="78">
        <f t="shared" ref="T16:T23" si="6">H57</f>
        <v>280</v>
      </c>
      <c r="U16" s="77" t="str">
        <f t="shared" ref="U16:U23" si="7">CONCATENATE(K57,$D57,K66)</f>
        <v>13.5-20.43</v>
      </c>
      <c r="V16" s="78">
        <f t="shared" ref="V16:V23" si="8">L57</f>
        <v>0.18</v>
      </c>
    </row>
    <row r="17" spans="1:22" s="78" customFormat="1" x14ac:dyDescent="0.25">
      <c r="A17" s="78">
        <v>14</v>
      </c>
      <c r="B17" s="16" t="s">
        <v>49</v>
      </c>
      <c r="C17" s="78" t="s">
        <v>509</v>
      </c>
      <c r="D17" s="16" t="s">
        <v>49</v>
      </c>
      <c r="E17" s="78" t="s">
        <v>92</v>
      </c>
      <c r="F17" s="78" t="str">
        <f t="shared" si="0"/>
        <v>14-1R-50H</v>
      </c>
      <c r="G17" s="78" t="s">
        <v>5</v>
      </c>
      <c r="H17" s="75">
        <v>1500</v>
      </c>
      <c r="I17" s="78">
        <v>7</v>
      </c>
      <c r="J17" s="78">
        <v>11.24</v>
      </c>
      <c r="K17" s="15">
        <v>58.62</v>
      </c>
      <c r="L17" s="15">
        <v>0.13</v>
      </c>
      <c r="O17" s="77" t="str">
        <f t="shared" si="1"/>
        <v>0.5-2.5</v>
      </c>
      <c r="P17" s="77" t="str">
        <f t="shared" si="2"/>
        <v>0.18-3.01</v>
      </c>
      <c r="Q17" s="77">
        <f t="shared" si="3"/>
        <v>250</v>
      </c>
      <c r="R17" s="77" t="str">
        <f t="shared" si="4"/>
        <v>13-19.15</v>
      </c>
      <c r="S17" s="78">
        <f t="shared" si="5"/>
        <v>0.19</v>
      </c>
      <c r="T17" s="78">
        <f t="shared" si="6"/>
        <v>400</v>
      </c>
      <c r="U17" s="77" t="str">
        <f t="shared" si="7"/>
        <v>14.91-24.62</v>
      </c>
      <c r="V17" s="78">
        <f t="shared" si="8"/>
        <v>0.43</v>
      </c>
    </row>
    <row r="18" spans="1:22" s="78" customFormat="1" x14ac:dyDescent="0.25">
      <c r="A18" s="78">
        <v>16</v>
      </c>
      <c r="B18" s="16" t="s">
        <v>49</v>
      </c>
      <c r="C18" s="78" t="s">
        <v>509</v>
      </c>
      <c r="D18" s="16" t="s">
        <v>49</v>
      </c>
      <c r="E18" s="78" t="s">
        <v>92</v>
      </c>
      <c r="F18" s="78" t="str">
        <f t="shared" si="0"/>
        <v>16-1R-50H</v>
      </c>
      <c r="G18" s="78" t="s">
        <v>6</v>
      </c>
      <c r="H18" s="75">
        <v>2000</v>
      </c>
      <c r="I18" s="78">
        <v>7.5</v>
      </c>
      <c r="J18" s="78">
        <v>13.99</v>
      </c>
      <c r="K18" s="15">
        <v>74.16</v>
      </c>
      <c r="L18" s="15">
        <v>0.15</v>
      </c>
      <c r="O18" s="77" t="str">
        <f t="shared" si="1"/>
        <v>0.6-2.5</v>
      </c>
      <c r="P18" s="77" t="str">
        <f t="shared" si="2"/>
        <v>0.04-0.47</v>
      </c>
      <c r="Q18" s="77">
        <f t="shared" si="3"/>
        <v>450</v>
      </c>
      <c r="R18" s="77" t="str">
        <f t="shared" si="4"/>
        <v>14.44-27.26</v>
      </c>
      <c r="S18" s="78">
        <f t="shared" si="5"/>
        <v>0.24</v>
      </c>
      <c r="T18" s="78">
        <f t="shared" si="6"/>
        <v>720</v>
      </c>
      <c r="U18" s="77" t="str">
        <f t="shared" si="7"/>
        <v>15.61-33.01</v>
      </c>
      <c r="V18" s="78">
        <f t="shared" si="8"/>
        <v>0.51</v>
      </c>
    </row>
    <row r="19" spans="1:22" s="78" customFormat="1" ht="15.75" thickBot="1" x14ac:dyDescent="0.3">
      <c r="A19" s="78">
        <v>24</v>
      </c>
      <c r="B19" s="16" t="s">
        <v>49</v>
      </c>
      <c r="C19" s="78" t="s">
        <v>509</v>
      </c>
      <c r="D19" s="16" t="s">
        <v>49</v>
      </c>
      <c r="E19" s="78" t="s">
        <v>92</v>
      </c>
      <c r="F19" s="78" t="str">
        <f t="shared" si="0"/>
        <v>24-1R-50H</v>
      </c>
      <c r="G19" s="78" t="s">
        <v>7</v>
      </c>
      <c r="H19" s="13">
        <v>4000</v>
      </c>
      <c r="I19" s="78">
        <v>7</v>
      </c>
      <c r="J19" s="78">
        <v>13.49</v>
      </c>
      <c r="K19" s="15">
        <v>111.02</v>
      </c>
      <c r="L19" s="15">
        <v>0.41</v>
      </c>
      <c r="O19" s="77" t="str">
        <f t="shared" si="1"/>
        <v>0.9-2.5</v>
      </c>
      <c r="P19" s="77" t="str">
        <f t="shared" si="2"/>
        <v>0.15-0.98</v>
      </c>
      <c r="Q19" s="77">
        <f t="shared" si="3"/>
        <v>700</v>
      </c>
      <c r="R19" s="77" t="str">
        <f t="shared" si="4"/>
        <v>27.53-41.28</v>
      </c>
      <c r="S19" s="78">
        <f t="shared" si="5"/>
        <v>0.23</v>
      </c>
      <c r="T19" s="78">
        <f t="shared" si="6"/>
        <v>1120</v>
      </c>
      <c r="U19" s="77" t="str">
        <f t="shared" si="7"/>
        <v>30.37-49.52</v>
      </c>
      <c r="V19" s="78">
        <f t="shared" si="8"/>
        <v>0.48</v>
      </c>
    </row>
    <row r="20" spans="1:22" s="78" customFormat="1" x14ac:dyDescent="0.25">
      <c r="A20" s="78">
        <v>4</v>
      </c>
      <c r="B20" s="16" t="s">
        <v>49</v>
      </c>
      <c r="C20" s="78" t="s">
        <v>510</v>
      </c>
      <c r="D20" s="16" t="s">
        <v>49</v>
      </c>
      <c r="E20" s="78" t="s">
        <v>50</v>
      </c>
      <c r="F20" s="78" t="str">
        <f t="shared" si="0"/>
        <v>4-2R-50L</v>
      </c>
      <c r="G20" s="78" t="s">
        <v>0</v>
      </c>
      <c r="H20" s="75">
        <v>112</v>
      </c>
      <c r="I20" s="78">
        <v>0.5</v>
      </c>
      <c r="J20" s="78">
        <v>0.17</v>
      </c>
      <c r="K20" s="15">
        <v>9.07</v>
      </c>
      <c r="L20" s="15">
        <v>0.05</v>
      </c>
      <c r="O20" s="77" t="str">
        <f t="shared" si="1"/>
        <v>1.1-5</v>
      </c>
      <c r="P20" s="77" t="str">
        <f t="shared" si="2"/>
        <v>0.08-1.3</v>
      </c>
      <c r="Q20" s="77">
        <f t="shared" si="3"/>
        <v>1000</v>
      </c>
      <c r="R20" s="77" t="str">
        <f t="shared" si="4"/>
        <v>32.63-61.83</v>
      </c>
      <c r="S20" s="78">
        <f t="shared" si="5"/>
        <v>0.23</v>
      </c>
      <c r="T20" s="78">
        <f t="shared" si="6"/>
        <v>1600</v>
      </c>
      <c r="U20" s="77" t="str">
        <f t="shared" si="7"/>
        <v>35.22-75.29</v>
      </c>
      <c r="V20" s="78">
        <f t="shared" si="8"/>
        <v>0.49</v>
      </c>
    </row>
    <row r="21" spans="1:22" s="78" customFormat="1" x14ac:dyDescent="0.25">
      <c r="A21" s="78">
        <v>5</v>
      </c>
      <c r="B21" s="16" t="s">
        <v>49</v>
      </c>
      <c r="C21" s="78" t="s">
        <v>510</v>
      </c>
      <c r="D21" s="16" t="s">
        <v>49</v>
      </c>
      <c r="E21" s="78" t="s">
        <v>50</v>
      </c>
      <c r="F21" s="78" t="str">
        <f t="shared" si="0"/>
        <v>5-2R-50L</v>
      </c>
      <c r="G21" s="78" t="s">
        <v>8</v>
      </c>
      <c r="H21" s="75">
        <v>175</v>
      </c>
      <c r="I21" s="78">
        <v>0.5</v>
      </c>
      <c r="J21" s="78">
        <v>0.17</v>
      </c>
      <c r="K21" s="15">
        <v>11.32</v>
      </c>
      <c r="L21" s="15">
        <v>0.09</v>
      </c>
      <c r="O21" s="77" t="str">
        <f t="shared" si="1"/>
        <v>2-7</v>
      </c>
      <c r="P21" s="77" t="str">
        <f t="shared" si="2"/>
        <v>0.19-1.95</v>
      </c>
      <c r="Q21" s="77">
        <f t="shared" si="3"/>
        <v>1500</v>
      </c>
      <c r="R21" s="77" t="str">
        <f t="shared" si="4"/>
        <v>57.59-91.2</v>
      </c>
      <c r="S21" s="78">
        <f t="shared" si="5"/>
        <v>0.25</v>
      </c>
      <c r="T21" s="78">
        <f t="shared" si="6"/>
        <v>2400</v>
      </c>
      <c r="U21" s="77" t="str">
        <f t="shared" si="7"/>
        <v>63.45-110.72</v>
      </c>
      <c r="V21" s="78">
        <f t="shared" si="8"/>
        <v>0.52</v>
      </c>
    </row>
    <row r="22" spans="1:22" s="78" customFormat="1" x14ac:dyDescent="0.25">
      <c r="A22" s="78">
        <v>6</v>
      </c>
      <c r="B22" s="16" t="s">
        <v>49</v>
      </c>
      <c r="C22" s="78" t="s">
        <v>510</v>
      </c>
      <c r="D22" s="16" t="s">
        <v>49</v>
      </c>
      <c r="E22" s="78" t="s">
        <v>50</v>
      </c>
      <c r="F22" s="78" t="str">
        <f t="shared" si="0"/>
        <v>6-2R-50L</v>
      </c>
      <c r="G22" s="78" t="s">
        <v>1</v>
      </c>
      <c r="H22" s="75">
        <v>250</v>
      </c>
      <c r="I22" s="78">
        <v>0.5</v>
      </c>
      <c r="J22" s="78">
        <v>0.18</v>
      </c>
      <c r="K22" s="15">
        <v>13</v>
      </c>
      <c r="L22" s="15">
        <v>0.19</v>
      </c>
      <c r="O22" s="77" t="str">
        <f t="shared" si="1"/>
        <v>2.3-7.5</v>
      </c>
      <c r="P22" s="77" t="str">
        <f t="shared" si="2"/>
        <v>0.26-2.35</v>
      </c>
      <c r="Q22" s="77">
        <f t="shared" si="3"/>
        <v>2000</v>
      </c>
      <c r="R22" s="77" t="str">
        <f t="shared" si="4"/>
        <v>72.94-114.54</v>
      </c>
      <c r="S22" s="78">
        <f t="shared" si="5"/>
        <v>0.28999999999999998</v>
      </c>
      <c r="T22" s="78">
        <f t="shared" si="6"/>
        <v>3200</v>
      </c>
      <c r="U22" s="77" t="str">
        <f t="shared" si="7"/>
        <v>79.93-137.37</v>
      </c>
      <c r="V22" s="78">
        <f t="shared" si="8"/>
        <v>0.61</v>
      </c>
    </row>
    <row r="23" spans="1:22" s="78" customFormat="1" x14ac:dyDescent="0.25">
      <c r="A23" s="78">
        <v>8</v>
      </c>
      <c r="B23" s="16" t="s">
        <v>49</v>
      </c>
      <c r="C23" s="78" t="s">
        <v>510</v>
      </c>
      <c r="D23" s="16" t="s">
        <v>49</v>
      </c>
      <c r="E23" s="78" t="s">
        <v>50</v>
      </c>
      <c r="F23" s="78" t="str">
        <f t="shared" si="0"/>
        <v>8-2R-50L</v>
      </c>
      <c r="G23" s="78" t="s">
        <v>2</v>
      </c>
      <c r="H23" s="75">
        <v>450</v>
      </c>
      <c r="I23" s="78">
        <v>0.6</v>
      </c>
      <c r="J23" s="78">
        <v>0.04</v>
      </c>
      <c r="K23" s="15">
        <v>14.44</v>
      </c>
      <c r="L23" s="15">
        <v>0.24</v>
      </c>
      <c r="O23" s="77" t="str">
        <f t="shared" si="1"/>
        <v>4-7</v>
      </c>
      <c r="P23" s="77" t="str">
        <f t="shared" si="2"/>
        <v>0.9-2.53</v>
      </c>
      <c r="Q23" s="77">
        <f t="shared" si="3"/>
        <v>4000</v>
      </c>
      <c r="R23" s="77" t="str">
        <f t="shared" si="4"/>
        <v>124.75-156.6</v>
      </c>
      <c r="S23" s="78">
        <f t="shared" si="5"/>
        <v>0.74</v>
      </c>
      <c r="T23" s="78">
        <f t="shared" si="6"/>
        <v>5100</v>
      </c>
      <c r="U23" s="77" t="str">
        <f t="shared" si="7"/>
        <v>131.12-167.76</v>
      </c>
      <c r="V23" s="78">
        <f t="shared" si="8"/>
        <v>1.1200000000000001</v>
      </c>
    </row>
    <row r="24" spans="1:22" s="78" customFormat="1" x14ac:dyDescent="0.25">
      <c r="A24" s="78">
        <v>10</v>
      </c>
      <c r="B24" s="16" t="s">
        <v>49</v>
      </c>
      <c r="C24" s="78" t="s">
        <v>510</v>
      </c>
      <c r="D24" s="16" t="s">
        <v>49</v>
      </c>
      <c r="E24" s="78" t="s">
        <v>50</v>
      </c>
      <c r="F24" s="78" t="str">
        <f t="shared" si="0"/>
        <v>10-2R-50L</v>
      </c>
      <c r="G24" s="78" t="s">
        <v>3</v>
      </c>
      <c r="H24" s="75">
        <v>700</v>
      </c>
      <c r="I24" s="78">
        <v>0.9</v>
      </c>
      <c r="J24" s="78">
        <v>0.15</v>
      </c>
      <c r="K24" s="15">
        <v>27.53</v>
      </c>
      <c r="L24" s="15">
        <v>0.23</v>
      </c>
    </row>
    <row r="25" spans="1:22" s="78" customFormat="1" x14ac:dyDescent="0.25">
      <c r="A25" s="78">
        <v>12</v>
      </c>
      <c r="B25" s="16" t="s">
        <v>49</v>
      </c>
      <c r="C25" s="78" t="s">
        <v>510</v>
      </c>
      <c r="D25" s="16" t="s">
        <v>49</v>
      </c>
      <c r="E25" s="78" t="s">
        <v>50</v>
      </c>
      <c r="F25" s="78" t="str">
        <f t="shared" si="0"/>
        <v>12-2R-50L</v>
      </c>
      <c r="G25" s="78" t="s">
        <v>4</v>
      </c>
      <c r="H25" s="75">
        <v>1000</v>
      </c>
      <c r="I25" s="78">
        <v>1.1000000000000001</v>
      </c>
      <c r="J25" s="78">
        <v>0.08</v>
      </c>
      <c r="K25" s="15">
        <v>32.630000000000003</v>
      </c>
      <c r="L25" s="15">
        <v>0.23</v>
      </c>
      <c r="O25" s="145" t="s">
        <v>48</v>
      </c>
      <c r="P25" s="145"/>
      <c r="Q25" s="145"/>
      <c r="R25" s="145"/>
      <c r="S25" s="145"/>
      <c r="T25" s="145"/>
      <c r="U25" s="145"/>
      <c r="V25" s="145"/>
    </row>
    <row r="26" spans="1:22" s="78" customFormat="1" x14ac:dyDescent="0.25">
      <c r="A26" s="78">
        <v>14</v>
      </c>
      <c r="B26" s="16" t="s">
        <v>49</v>
      </c>
      <c r="C26" s="78" t="s">
        <v>510</v>
      </c>
      <c r="D26" s="16" t="s">
        <v>49</v>
      </c>
      <c r="E26" s="78" t="s">
        <v>50</v>
      </c>
      <c r="F26" s="78" t="str">
        <f t="shared" si="0"/>
        <v>14-2R-50L</v>
      </c>
      <c r="G26" s="78" t="s">
        <v>5</v>
      </c>
      <c r="H26" s="75">
        <v>1500</v>
      </c>
      <c r="I26" s="78">
        <v>2</v>
      </c>
      <c r="J26" s="78">
        <v>0.19</v>
      </c>
      <c r="K26" s="15">
        <v>57.59</v>
      </c>
      <c r="L26" s="15">
        <v>0.25</v>
      </c>
      <c r="O26" s="78" t="s">
        <v>22</v>
      </c>
      <c r="P26" s="78" t="s">
        <v>511</v>
      </c>
      <c r="Q26" s="78" t="s">
        <v>513</v>
      </c>
      <c r="R26" s="78" t="s">
        <v>512</v>
      </c>
      <c r="S26" s="78" t="s">
        <v>514</v>
      </c>
      <c r="T26" s="78" t="s">
        <v>517</v>
      </c>
      <c r="U26" s="78" t="s">
        <v>518</v>
      </c>
      <c r="V26" s="78" t="s">
        <v>519</v>
      </c>
    </row>
    <row r="27" spans="1:22" s="78" customFormat="1" x14ac:dyDescent="0.25">
      <c r="A27" s="78">
        <v>16</v>
      </c>
      <c r="B27" s="16" t="s">
        <v>49</v>
      </c>
      <c r="C27" s="78" t="s">
        <v>510</v>
      </c>
      <c r="D27" s="16" t="s">
        <v>49</v>
      </c>
      <c r="E27" s="78" t="s">
        <v>50</v>
      </c>
      <c r="F27" s="78" t="str">
        <f t="shared" si="0"/>
        <v>16-2R-50L</v>
      </c>
      <c r="G27" s="78" t="s">
        <v>6</v>
      </c>
      <c r="H27" s="75">
        <v>2000</v>
      </c>
      <c r="I27" s="78">
        <v>2.2999999999999998</v>
      </c>
      <c r="J27" s="78">
        <v>0.26</v>
      </c>
      <c r="K27" s="15">
        <v>72.94</v>
      </c>
      <c r="L27" s="15">
        <v>0.28999999999999998</v>
      </c>
      <c r="O27" s="77" t="str">
        <f>CONCATENATE(I74,$D74,I83)</f>
        <v>0.5-2.5</v>
      </c>
      <c r="P27" s="77" t="str">
        <f>CONCATENATE(J74,$D74,J83)</f>
        <v>0.25-4.3</v>
      </c>
      <c r="Q27" s="77">
        <f>H74</f>
        <v>112</v>
      </c>
      <c r="R27" s="77" t="str">
        <f>CONCATENATE(K74,$D74,K83)</f>
        <v>10.96-13.07</v>
      </c>
      <c r="S27" s="78">
        <f>L74</f>
        <v>7.0000000000000007E-2</v>
      </c>
      <c r="T27" s="78">
        <f>H110</f>
        <v>180</v>
      </c>
      <c r="U27" s="77" t="str">
        <f>CONCATENATE(K110,$D110,K119)</f>
        <v>14.14-18.97</v>
      </c>
      <c r="V27" s="78">
        <f>L110</f>
        <v>0.13</v>
      </c>
    </row>
    <row r="28" spans="1:22" s="78" customFormat="1" ht="15.75" thickBot="1" x14ac:dyDescent="0.3">
      <c r="A28" s="78">
        <v>24</v>
      </c>
      <c r="B28" s="16" t="s">
        <v>49</v>
      </c>
      <c r="C28" s="78" t="s">
        <v>510</v>
      </c>
      <c r="D28" s="16" t="s">
        <v>49</v>
      </c>
      <c r="E28" s="78" t="s">
        <v>50</v>
      </c>
      <c r="F28" s="78" t="str">
        <f t="shared" si="0"/>
        <v>24-2R-50L</v>
      </c>
      <c r="G28" s="78" t="s">
        <v>7</v>
      </c>
      <c r="H28" s="13">
        <v>4000</v>
      </c>
      <c r="I28" s="78">
        <v>4</v>
      </c>
      <c r="J28" s="78">
        <v>0.9</v>
      </c>
      <c r="K28" s="15">
        <v>124.75</v>
      </c>
      <c r="L28" s="15">
        <v>0.74</v>
      </c>
      <c r="O28" s="77" t="str">
        <f t="shared" ref="O28:P35" si="9">CONCATENATE(I75,$D75,I84)</f>
        <v>0.5-2.5</v>
      </c>
      <c r="P28" s="77" t="str">
        <f t="shared" si="9"/>
        <v>0.26-4.31</v>
      </c>
      <c r="Q28" s="77">
        <f t="shared" ref="Q28:Q35" si="10">H75</f>
        <v>175</v>
      </c>
      <c r="R28" s="77" t="str">
        <f t="shared" ref="R28:R35" si="11">CONCATENATE(K75,$D75,K84)</f>
        <v>13.95-18.58</v>
      </c>
      <c r="S28" s="78">
        <f t="shared" ref="S28:S35" si="12">L75</f>
        <v>0.13</v>
      </c>
      <c r="T28" s="78">
        <f t="shared" ref="T28:T35" si="13">H111</f>
        <v>280</v>
      </c>
      <c r="U28" s="77" t="str">
        <f t="shared" ref="U28:U35" si="14">CONCATENATE(K111,$D111,K120)</f>
        <v>16.79-25.67</v>
      </c>
      <c r="V28" s="78">
        <f t="shared" ref="V28:V35" si="15">L111</f>
        <v>0.26</v>
      </c>
    </row>
    <row r="29" spans="1:22" s="78" customFormat="1" x14ac:dyDescent="0.25">
      <c r="A29" s="78">
        <v>4</v>
      </c>
      <c r="B29" s="16" t="s">
        <v>49</v>
      </c>
      <c r="C29" s="78" t="s">
        <v>510</v>
      </c>
      <c r="D29" s="16" t="s">
        <v>49</v>
      </c>
      <c r="E29" s="78" t="s">
        <v>92</v>
      </c>
      <c r="F29" s="78" t="str">
        <f t="shared" si="0"/>
        <v>4-2R-50H</v>
      </c>
      <c r="G29" s="78" t="s">
        <v>0</v>
      </c>
      <c r="H29" s="75">
        <v>112</v>
      </c>
      <c r="I29" s="78">
        <v>2.5</v>
      </c>
      <c r="J29" s="78">
        <v>3</v>
      </c>
      <c r="K29" s="15">
        <v>11.17</v>
      </c>
      <c r="L29" s="15">
        <v>0.05</v>
      </c>
      <c r="O29" s="77" t="str">
        <f t="shared" si="9"/>
        <v>1-2.5</v>
      </c>
      <c r="P29" s="77" t="str">
        <f t="shared" si="9"/>
        <v>0.86-4.33</v>
      </c>
      <c r="Q29" s="77">
        <f t="shared" si="10"/>
        <v>250</v>
      </c>
      <c r="R29" s="77" t="str">
        <f t="shared" si="11"/>
        <v>20.6-23.86</v>
      </c>
      <c r="S29" s="78">
        <f t="shared" si="12"/>
        <v>0.26</v>
      </c>
      <c r="T29" s="78">
        <f t="shared" si="13"/>
        <v>400</v>
      </c>
      <c r="U29" s="77" t="str">
        <f t="shared" si="14"/>
        <v>25.57-31.65</v>
      </c>
      <c r="V29" s="78">
        <f t="shared" si="15"/>
        <v>0.57999999999999996</v>
      </c>
    </row>
    <row r="30" spans="1:22" s="78" customFormat="1" x14ac:dyDescent="0.25">
      <c r="A30" s="78">
        <v>5</v>
      </c>
      <c r="B30" s="16" t="s">
        <v>49</v>
      </c>
      <c r="C30" s="78" t="s">
        <v>510</v>
      </c>
      <c r="D30" s="16" t="s">
        <v>49</v>
      </c>
      <c r="E30" s="78" t="s">
        <v>92</v>
      </c>
      <c r="F30" s="78" t="str">
        <f t="shared" si="0"/>
        <v>5-2R-50H</v>
      </c>
      <c r="G30" s="78" t="s">
        <v>8</v>
      </c>
      <c r="H30" s="75">
        <v>175</v>
      </c>
      <c r="I30" s="78">
        <v>2.5</v>
      </c>
      <c r="J30" s="78">
        <v>3</v>
      </c>
      <c r="K30" s="15">
        <v>15.32</v>
      </c>
      <c r="L30" s="15">
        <v>0.09</v>
      </c>
      <c r="O30" s="77" t="str">
        <f t="shared" si="9"/>
        <v>2.5-12</v>
      </c>
      <c r="P30" s="77" t="str">
        <f t="shared" si="9"/>
        <v>0.54-9.62</v>
      </c>
      <c r="Q30" s="77">
        <f t="shared" si="10"/>
        <v>450</v>
      </c>
      <c r="R30" s="77" t="str">
        <f t="shared" si="11"/>
        <v>35-41.89</v>
      </c>
      <c r="S30" s="78">
        <f t="shared" si="12"/>
        <v>0.35</v>
      </c>
      <c r="T30" s="78">
        <f t="shared" si="13"/>
        <v>720</v>
      </c>
      <c r="U30" s="77" t="str">
        <f t="shared" si="14"/>
        <v>43.34-55.78</v>
      </c>
      <c r="V30" s="78">
        <f t="shared" si="15"/>
        <v>0.74</v>
      </c>
    </row>
    <row r="31" spans="1:22" s="78" customFormat="1" x14ac:dyDescent="0.25">
      <c r="A31" s="78">
        <v>6</v>
      </c>
      <c r="B31" s="16" t="s">
        <v>49</v>
      </c>
      <c r="C31" s="78" t="s">
        <v>510</v>
      </c>
      <c r="D31" s="16" t="s">
        <v>49</v>
      </c>
      <c r="E31" s="78" t="s">
        <v>92</v>
      </c>
      <c r="F31" s="78" t="str">
        <f t="shared" si="0"/>
        <v>6-2R-50H</v>
      </c>
      <c r="G31" s="78" t="s">
        <v>1</v>
      </c>
      <c r="H31" s="75">
        <v>250</v>
      </c>
      <c r="I31" s="78">
        <v>2.5</v>
      </c>
      <c r="J31" s="78">
        <v>3.01</v>
      </c>
      <c r="K31" s="15">
        <v>19.149999999999999</v>
      </c>
      <c r="L31" s="15">
        <v>0.19</v>
      </c>
      <c r="O31" s="77" t="str">
        <f t="shared" si="9"/>
        <v>2.5-10</v>
      </c>
      <c r="P31" s="77" t="str">
        <f t="shared" si="9"/>
        <v>1.34-17.34</v>
      </c>
      <c r="Q31" s="77">
        <f t="shared" si="10"/>
        <v>700</v>
      </c>
      <c r="R31" s="77" t="str">
        <f t="shared" si="11"/>
        <v>52.4-63.75</v>
      </c>
      <c r="S31" s="78">
        <f t="shared" si="12"/>
        <v>0.34</v>
      </c>
      <c r="T31" s="78">
        <f t="shared" si="13"/>
        <v>1120</v>
      </c>
      <c r="U31" s="77" t="str">
        <f t="shared" si="14"/>
        <v>63.78-84.04</v>
      </c>
      <c r="V31" s="78">
        <f t="shared" si="15"/>
        <v>0.72</v>
      </c>
    </row>
    <row r="32" spans="1:22" s="78" customFormat="1" x14ac:dyDescent="0.25">
      <c r="A32" s="78">
        <v>8</v>
      </c>
      <c r="B32" s="16" t="s">
        <v>49</v>
      </c>
      <c r="C32" s="78" t="s">
        <v>510</v>
      </c>
      <c r="D32" s="16" t="s">
        <v>49</v>
      </c>
      <c r="E32" s="78" t="s">
        <v>92</v>
      </c>
      <c r="F32" s="78" t="str">
        <f t="shared" si="0"/>
        <v>8-2R-50H</v>
      </c>
      <c r="G32" s="78" t="s">
        <v>2</v>
      </c>
      <c r="H32" s="75">
        <v>450</v>
      </c>
      <c r="I32" s="78">
        <v>2.5</v>
      </c>
      <c r="J32" s="78">
        <v>0.47</v>
      </c>
      <c r="K32" s="15">
        <v>27.26</v>
      </c>
      <c r="L32" s="15">
        <v>0.24</v>
      </c>
      <c r="O32" s="77" t="str">
        <f t="shared" si="9"/>
        <v>3.5-14</v>
      </c>
      <c r="P32" s="77" t="str">
        <f t="shared" si="9"/>
        <v>0.85-11.18</v>
      </c>
      <c r="Q32" s="77">
        <f t="shared" si="10"/>
        <v>1000</v>
      </c>
      <c r="R32" s="77" t="str">
        <f t="shared" si="11"/>
        <v>69.78-86.68</v>
      </c>
      <c r="S32" s="78">
        <f t="shared" si="12"/>
        <v>0.35</v>
      </c>
      <c r="T32" s="78">
        <f t="shared" si="13"/>
        <v>1600</v>
      </c>
      <c r="U32" s="77" t="str">
        <f t="shared" si="14"/>
        <v>84.03-113.07</v>
      </c>
      <c r="V32" s="78">
        <f t="shared" si="15"/>
        <v>0.73</v>
      </c>
    </row>
    <row r="33" spans="1:22" s="78" customFormat="1" x14ac:dyDescent="0.25">
      <c r="A33" s="78">
        <v>10</v>
      </c>
      <c r="B33" s="16" t="s">
        <v>49</v>
      </c>
      <c r="C33" s="78" t="s">
        <v>510</v>
      </c>
      <c r="D33" s="16" t="s">
        <v>49</v>
      </c>
      <c r="E33" s="78" t="s">
        <v>92</v>
      </c>
      <c r="F33" s="78" t="str">
        <f t="shared" si="0"/>
        <v>10-2R-50H</v>
      </c>
      <c r="G33" s="78" t="s">
        <v>3</v>
      </c>
      <c r="H33" s="75">
        <v>700</v>
      </c>
      <c r="I33" s="78">
        <v>2.5</v>
      </c>
      <c r="J33" s="78">
        <v>0.98</v>
      </c>
      <c r="K33" s="15">
        <v>41.28</v>
      </c>
      <c r="L33" s="15">
        <v>0.23</v>
      </c>
      <c r="O33" s="77" t="str">
        <f t="shared" si="9"/>
        <v>5-15</v>
      </c>
      <c r="P33" s="77" t="str">
        <f t="shared" si="9"/>
        <v>1.26-9.93</v>
      </c>
      <c r="Q33" s="77">
        <f t="shared" si="10"/>
        <v>1500</v>
      </c>
      <c r="R33" s="77" t="str">
        <f t="shared" si="11"/>
        <v>107.48-130.05</v>
      </c>
      <c r="S33" s="78">
        <f t="shared" si="12"/>
        <v>0.37</v>
      </c>
      <c r="T33" s="78">
        <f t="shared" si="13"/>
        <v>2400</v>
      </c>
      <c r="U33" s="77" t="str">
        <f t="shared" si="14"/>
        <v>129.44-168.24</v>
      </c>
      <c r="V33" s="78">
        <f t="shared" si="15"/>
        <v>0.78</v>
      </c>
    </row>
    <row r="34" spans="1:22" s="78" customFormat="1" x14ac:dyDescent="0.25">
      <c r="A34" s="78">
        <v>12</v>
      </c>
      <c r="B34" s="16" t="s">
        <v>49</v>
      </c>
      <c r="C34" s="78" t="s">
        <v>510</v>
      </c>
      <c r="D34" s="16" t="s">
        <v>49</v>
      </c>
      <c r="E34" s="78" t="s">
        <v>92</v>
      </c>
      <c r="F34" s="78" t="str">
        <f t="shared" si="0"/>
        <v>12-2R-50H</v>
      </c>
      <c r="G34" s="78" t="s">
        <v>4</v>
      </c>
      <c r="H34" s="75">
        <v>1000</v>
      </c>
      <c r="I34" s="78">
        <v>5</v>
      </c>
      <c r="J34" s="78">
        <v>1.3</v>
      </c>
      <c r="K34" s="15">
        <v>61.83</v>
      </c>
      <c r="L34" s="15">
        <v>0.23</v>
      </c>
      <c r="O34" s="77" t="str">
        <f t="shared" si="9"/>
        <v>5-17</v>
      </c>
      <c r="P34" s="77" t="str">
        <f t="shared" si="9"/>
        <v>1.35-13.34</v>
      </c>
      <c r="Q34" s="77">
        <f t="shared" si="10"/>
        <v>2000</v>
      </c>
      <c r="R34" s="77" t="str">
        <f t="shared" si="11"/>
        <v>130.77-166.98</v>
      </c>
      <c r="S34" s="78">
        <f t="shared" si="12"/>
        <v>0.43</v>
      </c>
      <c r="T34" s="78">
        <f t="shared" si="13"/>
        <v>3200</v>
      </c>
      <c r="U34" s="77" t="str">
        <f t="shared" si="14"/>
        <v>153.8-213.72</v>
      </c>
      <c r="V34" s="78">
        <f t="shared" si="15"/>
        <v>0.91</v>
      </c>
    </row>
    <row r="35" spans="1:22" s="78" customFormat="1" x14ac:dyDescent="0.25">
      <c r="A35" s="78">
        <v>14</v>
      </c>
      <c r="B35" s="16" t="s">
        <v>49</v>
      </c>
      <c r="C35" s="78" t="s">
        <v>510</v>
      </c>
      <c r="D35" s="16" t="s">
        <v>49</v>
      </c>
      <c r="E35" s="78" t="s">
        <v>92</v>
      </c>
      <c r="F35" s="78" t="str">
        <f t="shared" si="0"/>
        <v>14-2R-50H</v>
      </c>
      <c r="G35" s="78" t="s">
        <v>5</v>
      </c>
      <c r="H35" s="75">
        <v>1500</v>
      </c>
      <c r="I35" s="78">
        <v>7</v>
      </c>
      <c r="J35" s="78">
        <v>1.95</v>
      </c>
      <c r="K35" s="15">
        <v>91.2</v>
      </c>
      <c r="L35" s="15">
        <v>0.25</v>
      </c>
      <c r="O35" s="77" t="str">
        <f t="shared" si="9"/>
        <v>5-17</v>
      </c>
      <c r="P35" s="77" t="str">
        <f t="shared" si="9"/>
        <v>1.45-14.1</v>
      </c>
      <c r="Q35" s="77">
        <f t="shared" si="10"/>
        <v>4000</v>
      </c>
      <c r="R35" s="77" t="str">
        <f t="shared" si="11"/>
        <v>174.69-254.01</v>
      </c>
      <c r="S35" s="78">
        <f t="shared" si="12"/>
        <v>1.08</v>
      </c>
      <c r="T35" s="78">
        <f t="shared" si="13"/>
        <v>5100</v>
      </c>
      <c r="U35" s="77" t="str">
        <f t="shared" si="14"/>
        <v>184.83-281.03</v>
      </c>
      <c r="V35" s="78">
        <f t="shared" si="15"/>
        <v>1.62</v>
      </c>
    </row>
    <row r="36" spans="1:22" s="78" customFormat="1" x14ac:dyDescent="0.25">
      <c r="A36" s="78">
        <v>16</v>
      </c>
      <c r="B36" s="16" t="s">
        <v>49</v>
      </c>
      <c r="C36" s="78" t="s">
        <v>510</v>
      </c>
      <c r="D36" s="16" t="s">
        <v>49</v>
      </c>
      <c r="E36" s="78" t="s">
        <v>92</v>
      </c>
      <c r="F36" s="78" t="str">
        <f t="shared" si="0"/>
        <v>16-2R-50H</v>
      </c>
      <c r="G36" s="78" t="s">
        <v>6</v>
      </c>
      <c r="H36" s="75">
        <v>2000</v>
      </c>
      <c r="I36" s="78">
        <v>7.5</v>
      </c>
      <c r="J36" s="78">
        <v>2.35</v>
      </c>
      <c r="K36" s="15">
        <v>114.54</v>
      </c>
      <c r="L36" s="15">
        <v>0.28999999999999998</v>
      </c>
    </row>
    <row r="37" spans="1:22" s="78" customFormat="1" ht="15.75" thickBot="1" x14ac:dyDescent="0.3">
      <c r="A37" s="78">
        <v>24</v>
      </c>
      <c r="B37" s="16" t="s">
        <v>49</v>
      </c>
      <c r="C37" s="78" t="s">
        <v>510</v>
      </c>
      <c r="D37" s="16" t="s">
        <v>49</v>
      </c>
      <c r="E37" s="78" t="s">
        <v>92</v>
      </c>
      <c r="F37" s="78" t="str">
        <f t="shared" si="0"/>
        <v>24-2R-50H</v>
      </c>
      <c r="G37" s="78" t="s">
        <v>7</v>
      </c>
      <c r="H37" s="13">
        <v>4000</v>
      </c>
      <c r="I37" s="78">
        <v>7</v>
      </c>
      <c r="J37" s="78">
        <v>2.5299999999999998</v>
      </c>
      <c r="K37" s="15">
        <v>156.6</v>
      </c>
      <c r="L37" s="15">
        <v>0.74</v>
      </c>
      <c r="O37" s="145" t="s">
        <v>51</v>
      </c>
      <c r="P37" s="145"/>
      <c r="Q37" s="145"/>
      <c r="R37" s="145"/>
      <c r="S37" s="145"/>
      <c r="T37" s="145"/>
      <c r="U37" s="145"/>
      <c r="V37" s="145"/>
    </row>
    <row r="38" spans="1:22" s="78" customFormat="1" x14ac:dyDescent="0.25">
      <c r="A38" s="78">
        <v>4</v>
      </c>
      <c r="B38" s="16" t="s">
        <v>49</v>
      </c>
      <c r="C38" s="78" t="s">
        <v>509</v>
      </c>
      <c r="D38" s="16" t="s">
        <v>49</v>
      </c>
      <c r="E38" s="78" t="s">
        <v>52</v>
      </c>
      <c r="F38" s="78" t="str">
        <f t="shared" si="0"/>
        <v>4-1R-80L</v>
      </c>
      <c r="G38" s="78" t="s">
        <v>0</v>
      </c>
      <c r="H38" s="75">
        <v>180</v>
      </c>
      <c r="I38" s="78">
        <v>0.5</v>
      </c>
      <c r="J38" s="78">
        <v>0.5</v>
      </c>
      <c r="K38" s="15">
        <v>7.88</v>
      </c>
      <c r="L38" s="15">
        <v>0.05</v>
      </c>
      <c r="O38" s="78" t="s">
        <v>22</v>
      </c>
      <c r="P38" s="78" t="s">
        <v>511</v>
      </c>
      <c r="Q38" s="78" t="s">
        <v>513</v>
      </c>
      <c r="R38" s="78" t="s">
        <v>512</v>
      </c>
      <c r="S38" s="78" t="s">
        <v>514</v>
      </c>
      <c r="T38" s="78" t="s">
        <v>517</v>
      </c>
      <c r="U38" s="78" t="s">
        <v>518</v>
      </c>
      <c r="V38" s="78" t="s">
        <v>519</v>
      </c>
    </row>
    <row r="39" spans="1:22" s="78" customFormat="1" x14ac:dyDescent="0.25">
      <c r="A39" s="78">
        <v>5</v>
      </c>
      <c r="B39" s="16" t="s">
        <v>49</v>
      </c>
      <c r="C39" s="78" t="s">
        <v>509</v>
      </c>
      <c r="D39" s="16" t="s">
        <v>49</v>
      </c>
      <c r="E39" s="78" t="s">
        <v>52</v>
      </c>
      <c r="F39" s="78" t="str">
        <f t="shared" si="0"/>
        <v>5-1R-80L</v>
      </c>
      <c r="G39" s="78" t="s">
        <v>8</v>
      </c>
      <c r="H39" s="75">
        <v>280</v>
      </c>
      <c r="I39" s="78">
        <v>0.5</v>
      </c>
      <c r="J39" s="78">
        <v>0.5</v>
      </c>
      <c r="K39" s="15">
        <v>9.43</v>
      </c>
      <c r="L39" s="15">
        <v>0.09</v>
      </c>
      <c r="O39" s="77" t="str">
        <f>CONCATENATE(I92,$D92,I101)</f>
        <v>0.5-2.5</v>
      </c>
      <c r="P39" s="77" t="str">
        <f>CONCATENATE(J92,$D92,J101)</f>
        <v>0.34-5.61</v>
      </c>
      <c r="Q39" s="77">
        <f>H92</f>
        <v>112</v>
      </c>
      <c r="R39" s="77" t="str">
        <f>CONCATENATE(K92,$D92,K101)</f>
        <v>12.18-14.1</v>
      </c>
      <c r="S39" s="78">
        <f>L92</f>
        <v>0.09</v>
      </c>
      <c r="T39" s="78">
        <f>H128</f>
        <v>180</v>
      </c>
      <c r="U39" s="77" t="str">
        <f>CONCATENATE(K128,$D128,K137)</f>
        <v>16.01-21.01</v>
      </c>
      <c r="V39" s="78">
        <f>L128</f>
        <v>0.17</v>
      </c>
    </row>
    <row r="40" spans="1:22" s="78" customFormat="1" x14ac:dyDescent="0.25">
      <c r="A40" s="78">
        <v>6</v>
      </c>
      <c r="B40" s="16" t="s">
        <v>49</v>
      </c>
      <c r="C40" s="78" t="s">
        <v>509</v>
      </c>
      <c r="D40" s="16" t="s">
        <v>49</v>
      </c>
      <c r="E40" s="78" t="s">
        <v>52</v>
      </c>
      <c r="F40" s="78" t="str">
        <f t="shared" si="0"/>
        <v>6-1R-80L</v>
      </c>
      <c r="G40" s="78" t="s">
        <v>1</v>
      </c>
      <c r="H40" s="75">
        <v>400</v>
      </c>
      <c r="I40" s="78">
        <v>0.5</v>
      </c>
      <c r="J40" s="78">
        <v>0.5</v>
      </c>
      <c r="K40" s="15">
        <v>10.85</v>
      </c>
      <c r="L40" s="15">
        <v>0.28000000000000003</v>
      </c>
      <c r="O40" s="77" t="str">
        <f t="shared" ref="O40:P47" si="16">CONCATENATE(I93,$D93,I102)</f>
        <v>0.5-2.5</v>
      </c>
      <c r="P40" s="77" t="str">
        <f t="shared" si="16"/>
        <v>0.34-5.63</v>
      </c>
      <c r="Q40" s="77">
        <f t="shared" ref="Q40:Q47" si="17">H93</f>
        <v>175</v>
      </c>
      <c r="R40" s="77" t="str">
        <f t="shared" ref="R40:R47" si="18">CONCATENATE(K93,$D93,K102)</f>
        <v>15.79-20.54</v>
      </c>
      <c r="S40" s="78">
        <f t="shared" ref="S40:S47" si="19">L93</f>
        <v>0.17</v>
      </c>
      <c r="T40" s="78">
        <f t="shared" ref="T40:T47" si="20">H129</f>
        <v>280</v>
      </c>
      <c r="U40" s="77" t="str">
        <f t="shared" ref="U40:U47" si="21">CONCATENATE(K129,$D129,K138)</f>
        <v>19.14-29.24</v>
      </c>
      <c r="V40" s="78">
        <f t="shared" ref="V40:V47" si="22">L129</f>
        <v>0.35</v>
      </c>
    </row>
    <row r="41" spans="1:22" s="78" customFormat="1" x14ac:dyDescent="0.25">
      <c r="A41" s="78">
        <v>8</v>
      </c>
      <c r="B41" s="16" t="s">
        <v>49</v>
      </c>
      <c r="C41" s="78" t="s">
        <v>509</v>
      </c>
      <c r="D41" s="16" t="s">
        <v>49</v>
      </c>
      <c r="E41" s="78" t="s">
        <v>52</v>
      </c>
      <c r="F41" s="78" t="str">
        <f t="shared" si="0"/>
        <v>8-1R-80L</v>
      </c>
      <c r="G41" s="78" t="s">
        <v>2</v>
      </c>
      <c r="H41" s="75">
        <v>720</v>
      </c>
      <c r="I41" s="78">
        <v>0.6</v>
      </c>
      <c r="J41" s="78">
        <v>0.93</v>
      </c>
      <c r="K41" s="15">
        <v>16.399999999999999</v>
      </c>
      <c r="L41" s="15">
        <v>0.28000000000000003</v>
      </c>
      <c r="O41" s="77" t="str">
        <f t="shared" si="16"/>
        <v>1-2.5</v>
      </c>
      <c r="P41" s="77" t="str">
        <f t="shared" si="16"/>
        <v>1.13-5.64</v>
      </c>
      <c r="Q41" s="77">
        <f t="shared" si="17"/>
        <v>250</v>
      </c>
      <c r="R41" s="77" t="str">
        <f t="shared" si="18"/>
        <v>23.54-26.99</v>
      </c>
      <c r="S41" s="78">
        <f t="shared" si="19"/>
        <v>0.33</v>
      </c>
      <c r="T41" s="78">
        <f t="shared" si="20"/>
        <v>400</v>
      </c>
      <c r="U41" s="77" t="str">
        <f t="shared" si="21"/>
        <v>29.65-36.78</v>
      </c>
      <c r="V41" s="78">
        <f t="shared" si="22"/>
        <v>0.73</v>
      </c>
    </row>
    <row r="42" spans="1:22" s="78" customFormat="1" x14ac:dyDescent="0.25">
      <c r="A42" s="78">
        <v>10</v>
      </c>
      <c r="B42" s="16" t="s">
        <v>49</v>
      </c>
      <c r="C42" s="78" t="s">
        <v>509</v>
      </c>
      <c r="D42" s="16" t="s">
        <v>49</v>
      </c>
      <c r="E42" s="78" t="s">
        <v>52</v>
      </c>
      <c r="F42" s="78" t="str">
        <f t="shared" si="0"/>
        <v>10-1R-80L</v>
      </c>
      <c r="G42" s="78" t="s">
        <v>3</v>
      </c>
      <c r="H42" s="75">
        <v>1120</v>
      </c>
      <c r="I42" s="78">
        <v>0.9</v>
      </c>
      <c r="J42" s="78">
        <v>2.6</v>
      </c>
      <c r="K42" s="15">
        <v>26.44</v>
      </c>
      <c r="L42" s="15">
        <v>0.24</v>
      </c>
      <c r="O42" s="77" t="str">
        <f t="shared" si="16"/>
        <v>2.5-12</v>
      </c>
      <c r="P42" s="77" t="str">
        <f t="shared" si="16"/>
        <v>0.68-11.78</v>
      </c>
      <c r="Q42" s="77">
        <f t="shared" si="17"/>
        <v>450</v>
      </c>
      <c r="R42" s="77" t="str">
        <f t="shared" si="18"/>
        <v>40.68-47.88</v>
      </c>
      <c r="S42" s="78">
        <f t="shared" si="19"/>
        <v>0.46</v>
      </c>
      <c r="T42" s="78">
        <f t="shared" si="20"/>
        <v>720</v>
      </c>
      <c r="U42" s="77" t="str">
        <f t="shared" si="21"/>
        <v>51.36-65.71</v>
      </c>
      <c r="V42" s="78">
        <f t="shared" si="22"/>
        <v>0.98</v>
      </c>
    </row>
    <row r="43" spans="1:22" s="78" customFormat="1" x14ac:dyDescent="0.25">
      <c r="A43" s="78">
        <v>12</v>
      </c>
      <c r="B43" s="16" t="s">
        <v>49</v>
      </c>
      <c r="C43" s="78" t="s">
        <v>509</v>
      </c>
      <c r="D43" s="16" t="s">
        <v>49</v>
      </c>
      <c r="E43" s="78" t="s">
        <v>52</v>
      </c>
      <c r="F43" s="78" t="str">
        <f t="shared" si="0"/>
        <v>12-1R-80L</v>
      </c>
      <c r="G43" s="78" t="s">
        <v>4</v>
      </c>
      <c r="H43" s="75">
        <v>1600</v>
      </c>
      <c r="I43" s="78">
        <v>1.1000000000000001</v>
      </c>
      <c r="J43" s="78">
        <v>0.77</v>
      </c>
      <c r="K43" s="15">
        <v>33.630000000000003</v>
      </c>
      <c r="L43" s="15">
        <v>0.25</v>
      </c>
      <c r="O43" s="77" t="str">
        <f t="shared" si="16"/>
        <v>2.5-10</v>
      </c>
      <c r="P43" s="77" t="str">
        <f t="shared" si="16"/>
        <v>1.81-22.61</v>
      </c>
      <c r="Q43" s="77">
        <f t="shared" si="17"/>
        <v>700</v>
      </c>
      <c r="R43" s="77" t="str">
        <f t="shared" si="18"/>
        <v>60.5-72.99</v>
      </c>
      <c r="S43" s="78">
        <f t="shared" si="19"/>
        <v>0.46</v>
      </c>
      <c r="T43" s="78">
        <f t="shared" si="20"/>
        <v>1120</v>
      </c>
      <c r="U43" s="77" t="str">
        <f t="shared" si="21"/>
        <v>74.55-98.94</v>
      </c>
      <c r="V43" s="78">
        <f t="shared" si="22"/>
        <v>0.97</v>
      </c>
    </row>
    <row r="44" spans="1:22" s="78" customFormat="1" x14ac:dyDescent="0.25">
      <c r="A44" s="78">
        <v>14</v>
      </c>
      <c r="B44" s="16" t="s">
        <v>49</v>
      </c>
      <c r="C44" s="78" t="s">
        <v>509</v>
      </c>
      <c r="D44" s="16" t="s">
        <v>49</v>
      </c>
      <c r="E44" s="78" t="s">
        <v>52</v>
      </c>
      <c r="F44" s="78" t="str">
        <f t="shared" si="0"/>
        <v>14-1R-80L</v>
      </c>
      <c r="G44" s="78" t="s">
        <v>5</v>
      </c>
      <c r="H44" s="75">
        <v>2400</v>
      </c>
      <c r="I44" s="78">
        <v>2</v>
      </c>
      <c r="J44" s="78">
        <v>1.17</v>
      </c>
      <c r="K44" s="15">
        <v>53.91</v>
      </c>
      <c r="L44" s="15">
        <v>0.26</v>
      </c>
      <c r="O44" s="77" t="str">
        <f t="shared" si="16"/>
        <v>3.5-14</v>
      </c>
      <c r="P44" s="77" t="str">
        <f t="shared" si="16"/>
        <v>1.02-13.15</v>
      </c>
      <c r="Q44" s="77">
        <f t="shared" si="17"/>
        <v>1000</v>
      </c>
      <c r="R44" s="77" t="str">
        <f t="shared" si="18"/>
        <v>84.04-103.25</v>
      </c>
      <c r="S44" s="78">
        <f t="shared" si="19"/>
        <v>0.47</v>
      </c>
      <c r="T44" s="78">
        <f t="shared" si="20"/>
        <v>1600</v>
      </c>
      <c r="U44" s="77" t="str">
        <f t="shared" si="21"/>
        <v>102.69-139.32</v>
      </c>
      <c r="V44" s="78">
        <f t="shared" si="22"/>
        <v>0.98</v>
      </c>
    </row>
    <row r="45" spans="1:22" s="78" customFormat="1" x14ac:dyDescent="0.25">
      <c r="A45" s="78">
        <v>16</v>
      </c>
      <c r="B45" s="16" t="s">
        <v>49</v>
      </c>
      <c r="C45" s="78" t="s">
        <v>509</v>
      </c>
      <c r="D45" s="16" t="s">
        <v>49</v>
      </c>
      <c r="E45" s="78" t="s">
        <v>52</v>
      </c>
      <c r="F45" s="78" t="str">
        <f t="shared" si="0"/>
        <v>16-1R-80L</v>
      </c>
      <c r="G45" s="78" t="s">
        <v>6</v>
      </c>
      <c r="H45" s="75">
        <v>3200</v>
      </c>
      <c r="I45" s="78">
        <v>2.2999999999999998</v>
      </c>
      <c r="J45" s="78">
        <v>1.66</v>
      </c>
      <c r="K45" s="15">
        <v>67.87</v>
      </c>
      <c r="L45" s="15">
        <v>0.31</v>
      </c>
      <c r="O45" s="77" t="str">
        <f t="shared" si="16"/>
        <v>5-15</v>
      </c>
      <c r="P45" s="77" t="str">
        <f t="shared" si="16"/>
        <v>1.49-11.46</v>
      </c>
      <c r="Q45" s="77">
        <f t="shared" si="17"/>
        <v>1500</v>
      </c>
      <c r="R45" s="77" t="str">
        <f t="shared" si="18"/>
        <v>124.5-149.84</v>
      </c>
      <c r="S45" s="78">
        <f t="shared" si="19"/>
        <v>0.49</v>
      </c>
      <c r="T45" s="78">
        <f t="shared" si="20"/>
        <v>2400</v>
      </c>
      <c r="U45" s="77" t="str">
        <f t="shared" si="21"/>
        <v>151.59-198.86</v>
      </c>
      <c r="V45" s="78">
        <f t="shared" si="22"/>
        <v>1.04</v>
      </c>
    </row>
    <row r="46" spans="1:22" s="78" customFormat="1" ht="15.75" thickBot="1" x14ac:dyDescent="0.3">
      <c r="A46" s="78">
        <v>24</v>
      </c>
      <c r="B46" s="16" t="s">
        <v>49</v>
      </c>
      <c r="C46" s="78" t="s">
        <v>509</v>
      </c>
      <c r="D46" s="16" t="s">
        <v>49</v>
      </c>
      <c r="E46" s="78" t="s">
        <v>52</v>
      </c>
      <c r="F46" s="78" t="str">
        <f t="shared" si="0"/>
        <v>24-1R-80L</v>
      </c>
      <c r="G46" s="78" t="s">
        <v>7</v>
      </c>
      <c r="H46" s="13">
        <v>5100</v>
      </c>
      <c r="I46" s="78">
        <v>4</v>
      </c>
      <c r="J46" s="78">
        <v>4.93</v>
      </c>
      <c r="K46" s="15">
        <v>106</v>
      </c>
      <c r="L46" s="15">
        <v>0.62</v>
      </c>
      <c r="O46" s="77" t="str">
        <f t="shared" si="16"/>
        <v>5-17</v>
      </c>
      <c r="P46" s="77" t="str">
        <f t="shared" si="16"/>
        <v>1.61-15.5</v>
      </c>
      <c r="Q46" s="77">
        <f t="shared" si="17"/>
        <v>2000</v>
      </c>
      <c r="R46" s="77" t="str">
        <f t="shared" si="18"/>
        <v>151.23-193.3</v>
      </c>
      <c r="S46" s="78">
        <f t="shared" si="19"/>
        <v>0.56999999999999995</v>
      </c>
      <c r="T46" s="78">
        <f t="shared" si="20"/>
        <v>3200</v>
      </c>
      <c r="U46" s="77" t="str">
        <f t="shared" si="21"/>
        <v>178.8-253.36</v>
      </c>
      <c r="V46" s="78">
        <f t="shared" si="22"/>
        <v>1.22</v>
      </c>
    </row>
    <row r="47" spans="1:22" s="78" customFormat="1" x14ac:dyDescent="0.25">
      <c r="A47" s="78">
        <v>4</v>
      </c>
      <c r="B47" s="16" t="s">
        <v>49</v>
      </c>
      <c r="C47" s="78" t="s">
        <v>509</v>
      </c>
      <c r="D47" s="16" t="s">
        <v>49</v>
      </c>
      <c r="E47" s="78" t="s">
        <v>92</v>
      </c>
      <c r="F47" s="78" t="str">
        <f t="shared" si="0"/>
        <v>4-1R-50H</v>
      </c>
      <c r="G47" s="78" t="s">
        <v>0</v>
      </c>
      <c r="H47" s="75">
        <v>180</v>
      </c>
      <c r="I47" s="78">
        <v>2.5</v>
      </c>
      <c r="J47" s="78">
        <v>8.3000000000000007</v>
      </c>
      <c r="K47" s="15">
        <v>9.9</v>
      </c>
      <c r="L47" s="15">
        <v>0.05</v>
      </c>
      <c r="O47" s="77" t="str">
        <f t="shared" si="16"/>
        <v>5-17</v>
      </c>
      <c r="P47" s="77" t="str">
        <f t="shared" si="16"/>
        <v>1.75-16.54</v>
      </c>
      <c r="Q47" s="77">
        <f t="shared" si="17"/>
        <v>4000</v>
      </c>
      <c r="R47" s="77" t="str">
        <f t="shared" si="18"/>
        <v>201.24-301.32</v>
      </c>
      <c r="S47" s="78">
        <f t="shared" si="19"/>
        <v>1.41</v>
      </c>
      <c r="T47" s="78">
        <f t="shared" si="20"/>
        <v>5100</v>
      </c>
      <c r="U47" s="77" t="str">
        <f t="shared" si="21"/>
        <v>212.51-336.12</v>
      </c>
      <c r="V47" s="78">
        <f t="shared" si="22"/>
        <v>2.11</v>
      </c>
    </row>
    <row r="48" spans="1:22" s="78" customFormat="1" x14ac:dyDescent="0.25">
      <c r="A48" s="78">
        <v>5</v>
      </c>
      <c r="B48" s="16" t="s">
        <v>49</v>
      </c>
      <c r="C48" s="78" t="s">
        <v>509</v>
      </c>
      <c r="D48" s="16" t="s">
        <v>49</v>
      </c>
      <c r="E48" s="78" t="s">
        <v>92</v>
      </c>
      <c r="F48" s="78" t="str">
        <f t="shared" si="0"/>
        <v>5-1R-50H</v>
      </c>
      <c r="G48" s="78" t="s">
        <v>8</v>
      </c>
      <c r="H48" s="75">
        <v>280</v>
      </c>
      <c r="I48" s="78">
        <v>2.5</v>
      </c>
      <c r="J48" s="78">
        <v>8.32</v>
      </c>
      <c r="K48" s="15">
        <v>12.52</v>
      </c>
      <c r="L48" s="15">
        <v>0.09</v>
      </c>
    </row>
    <row r="49" spans="1:12" s="78" customFormat="1" x14ac:dyDescent="0.25">
      <c r="A49" s="78">
        <v>6</v>
      </c>
      <c r="B49" s="16" t="s">
        <v>49</v>
      </c>
      <c r="C49" s="78" t="s">
        <v>509</v>
      </c>
      <c r="D49" s="16" t="s">
        <v>49</v>
      </c>
      <c r="E49" s="78" t="s">
        <v>92</v>
      </c>
      <c r="F49" s="78" t="str">
        <f t="shared" si="0"/>
        <v>6-1R-50H</v>
      </c>
      <c r="G49" s="78" t="s">
        <v>1</v>
      </c>
      <c r="H49" s="75">
        <v>400</v>
      </c>
      <c r="I49" s="78">
        <v>2.5</v>
      </c>
      <c r="J49" s="78">
        <v>8.34</v>
      </c>
      <c r="K49" s="15">
        <v>15.19</v>
      </c>
      <c r="L49" s="15">
        <v>0.28000000000000003</v>
      </c>
    </row>
    <row r="50" spans="1:12" s="78" customFormat="1" x14ac:dyDescent="0.25">
      <c r="A50" s="78">
        <v>8</v>
      </c>
      <c r="B50" s="16" t="s">
        <v>49</v>
      </c>
      <c r="C50" s="78" t="s">
        <v>509</v>
      </c>
      <c r="D50" s="16" t="s">
        <v>49</v>
      </c>
      <c r="E50" s="78" t="s">
        <v>92</v>
      </c>
      <c r="F50" s="78" t="str">
        <f t="shared" si="0"/>
        <v>8-1R-50H</v>
      </c>
      <c r="G50" s="78" t="s">
        <v>2</v>
      </c>
      <c r="H50" s="75">
        <v>720</v>
      </c>
      <c r="I50" s="78">
        <v>2.5</v>
      </c>
      <c r="J50" s="78">
        <v>11.12</v>
      </c>
      <c r="K50" s="15">
        <v>23.63</v>
      </c>
      <c r="L50" s="15">
        <v>0.28000000000000003</v>
      </c>
    </row>
    <row r="51" spans="1:12" s="78" customFormat="1" x14ac:dyDescent="0.25">
      <c r="A51" s="78">
        <v>10</v>
      </c>
      <c r="B51" s="16" t="s">
        <v>49</v>
      </c>
      <c r="C51" s="78" t="s">
        <v>509</v>
      </c>
      <c r="D51" s="16" t="s">
        <v>49</v>
      </c>
      <c r="E51" s="78" t="s">
        <v>92</v>
      </c>
      <c r="F51" s="78" t="str">
        <f t="shared" si="0"/>
        <v>10-1R-50H</v>
      </c>
      <c r="G51" s="78" t="s">
        <v>3</v>
      </c>
      <c r="H51" s="75">
        <v>1120</v>
      </c>
      <c r="I51" s="78">
        <v>2.5</v>
      </c>
      <c r="J51" s="78">
        <v>15.37</v>
      </c>
      <c r="K51" s="15">
        <v>34.85</v>
      </c>
      <c r="L51" s="15">
        <v>0.24</v>
      </c>
    </row>
    <row r="52" spans="1:12" s="78" customFormat="1" x14ac:dyDescent="0.25">
      <c r="A52" s="78">
        <v>12</v>
      </c>
      <c r="B52" s="16" t="s">
        <v>49</v>
      </c>
      <c r="C52" s="78" t="s">
        <v>509</v>
      </c>
      <c r="D52" s="16" t="s">
        <v>49</v>
      </c>
      <c r="E52" s="78" t="s">
        <v>92</v>
      </c>
      <c r="F52" s="78" t="str">
        <f t="shared" si="0"/>
        <v>12-1R-50H</v>
      </c>
      <c r="G52" s="78" t="s">
        <v>4</v>
      </c>
      <c r="H52" s="75">
        <v>1600</v>
      </c>
      <c r="I52" s="78">
        <v>5</v>
      </c>
      <c r="J52" s="78">
        <v>11.8</v>
      </c>
      <c r="K52" s="15">
        <v>51.4</v>
      </c>
      <c r="L52" s="15">
        <v>0.25</v>
      </c>
    </row>
    <row r="53" spans="1:12" s="78" customFormat="1" x14ac:dyDescent="0.25">
      <c r="A53" s="78">
        <v>14</v>
      </c>
      <c r="B53" s="16" t="s">
        <v>49</v>
      </c>
      <c r="C53" s="78" t="s">
        <v>509</v>
      </c>
      <c r="D53" s="16" t="s">
        <v>49</v>
      </c>
      <c r="E53" s="78" t="s">
        <v>92</v>
      </c>
      <c r="F53" s="78" t="str">
        <f t="shared" si="0"/>
        <v>14-1R-50H</v>
      </c>
      <c r="G53" s="78" t="s">
        <v>5</v>
      </c>
      <c r="H53" s="75">
        <v>2400</v>
      </c>
      <c r="I53" s="78">
        <v>7</v>
      </c>
      <c r="J53" s="78">
        <v>11.27</v>
      </c>
      <c r="K53" s="15">
        <v>75</v>
      </c>
      <c r="L53" s="15">
        <v>0.26</v>
      </c>
    </row>
    <row r="54" spans="1:12" s="78" customFormat="1" x14ac:dyDescent="0.25">
      <c r="A54" s="78">
        <v>16</v>
      </c>
      <c r="B54" s="16" t="s">
        <v>49</v>
      </c>
      <c r="C54" s="78" t="s">
        <v>509</v>
      </c>
      <c r="D54" s="16" t="s">
        <v>49</v>
      </c>
      <c r="E54" s="78" t="s">
        <v>92</v>
      </c>
      <c r="F54" s="78" t="str">
        <f t="shared" si="0"/>
        <v>16-1R-50H</v>
      </c>
      <c r="G54" s="78" t="s">
        <v>6</v>
      </c>
      <c r="H54" s="75">
        <v>3200</v>
      </c>
      <c r="I54" s="78">
        <v>7.5</v>
      </c>
      <c r="J54" s="78">
        <v>14.04</v>
      </c>
      <c r="K54" s="15">
        <v>94.61</v>
      </c>
      <c r="L54" s="15">
        <v>0.31</v>
      </c>
    </row>
    <row r="55" spans="1:12" s="78" customFormat="1" ht="15.75" thickBot="1" x14ac:dyDescent="0.3">
      <c r="A55" s="78">
        <v>24</v>
      </c>
      <c r="B55" s="16" t="s">
        <v>49</v>
      </c>
      <c r="C55" s="78" t="s">
        <v>509</v>
      </c>
      <c r="D55" s="16" t="s">
        <v>49</v>
      </c>
      <c r="E55" s="78" t="s">
        <v>92</v>
      </c>
      <c r="F55" s="78" t="str">
        <f t="shared" si="0"/>
        <v>24-1R-50H</v>
      </c>
      <c r="G55" s="78" t="s">
        <v>7</v>
      </c>
      <c r="H55" s="13">
        <v>5100</v>
      </c>
      <c r="I55" s="78">
        <v>7</v>
      </c>
      <c r="J55" s="78">
        <v>13.53</v>
      </c>
      <c r="K55" s="15">
        <v>124.93</v>
      </c>
      <c r="L55" s="15">
        <v>0.62</v>
      </c>
    </row>
    <row r="56" spans="1:12" s="78" customFormat="1" x14ac:dyDescent="0.25">
      <c r="A56" s="78">
        <v>4</v>
      </c>
      <c r="B56" s="16" t="s">
        <v>49</v>
      </c>
      <c r="C56" s="78" t="s">
        <v>510</v>
      </c>
      <c r="D56" s="16" t="s">
        <v>49</v>
      </c>
      <c r="E56" s="78" t="s">
        <v>52</v>
      </c>
      <c r="F56" s="78" t="str">
        <f t="shared" si="0"/>
        <v>4-2R-80L</v>
      </c>
      <c r="G56" s="78" t="s">
        <v>0</v>
      </c>
      <c r="H56" s="75">
        <v>180</v>
      </c>
      <c r="I56" s="78">
        <v>0.5</v>
      </c>
      <c r="J56" s="78">
        <v>0.17</v>
      </c>
      <c r="K56" s="15">
        <v>11.46</v>
      </c>
      <c r="L56" s="15">
        <v>0.09</v>
      </c>
    </row>
    <row r="57" spans="1:12" s="78" customFormat="1" x14ac:dyDescent="0.25">
      <c r="A57" s="78">
        <v>5</v>
      </c>
      <c r="B57" s="16" t="s">
        <v>49</v>
      </c>
      <c r="C57" s="78" t="s">
        <v>510</v>
      </c>
      <c r="D57" s="16" t="s">
        <v>49</v>
      </c>
      <c r="E57" s="78" t="s">
        <v>52</v>
      </c>
      <c r="F57" s="78" t="str">
        <f t="shared" si="0"/>
        <v>5-2R-80L</v>
      </c>
      <c r="G57" s="78" t="s">
        <v>8</v>
      </c>
      <c r="H57" s="75">
        <v>280</v>
      </c>
      <c r="I57" s="78">
        <v>0.5</v>
      </c>
      <c r="J57" s="78">
        <v>0.18</v>
      </c>
      <c r="K57" s="15">
        <v>13.5</v>
      </c>
      <c r="L57" s="15">
        <v>0.18</v>
      </c>
    </row>
    <row r="58" spans="1:12" s="78" customFormat="1" x14ac:dyDescent="0.25">
      <c r="A58" s="78">
        <v>6</v>
      </c>
      <c r="B58" s="16" t="s">
        <v>49</v>
      </c>
      <c r="C58" s="78" t="s">
        <v>510</v>
      </c>
      <c r="D58" s="16" t="s">
        <v>49</v>
      </c>
      <c r="E58" s="78" t="s">
        <v>52</v>
      </c>
      <c r="F58" s="78" t="str">
        <f t="shared" si="0"/>
        <v>6-2R-80L</v>
      </c>
      <c r="G58" s="78" t="s">
        <v>1</v>
      </c>
      <c r="H58" s="75">
        <v>400</v>
      </c>
      <c r="I58" s="78">
        <v>0.5</v>
      </c>
      <c r="J58" s="78">
        <v>0.18</v>
      </c>
      <c r="K58" s="15">
        <v>14.91</v>
      </c>
      <c r="L58" s="15">
        <v>0.43</v>
      </c>
    </row>
    <row r="59" spans="1:12" s="78" customFormat="1" x14ac:dyDescent="0.25">
      <c r="A59" s="78">
        <v>8</v>
      </c>
      <c r="B59" s="16" t="s">
        <v>49</v>
      </c>
      <c r="C59" s="78" t="s">
        <v>510</v>
      </c>
      <c r="D59" s="16" t="s">
        <v>49</v>
      </c>
      <c r="E59" s="78" t="s">
        <v>52</v>
      </c>
      <c r="F59" s="78" t="str">
        <f t="shared" si="0"/>
        <v>8-2R-80L</v>
      </c>
      <c r="G59" s="78" t="s">
        <v>2</v>
      </c>
      <c r="H59" s="75">
        <v>720</v>
      </c>
      <c r="I59" s="78">
        <v>0.6</v>
      </c>
      <c r="J59" s="78">
        <v>0.04</v>
      </c>
      <c r="K59" s="15">
        <v>15.61</v>
      </c>
      <c r="L59" s="15">
        <v>0.51</v>
      </c>
    </row>
    <row r="60" spans="1:12" s="78" customFormat="1" x14ac:dyDescent="0.25">
      <c r="A60" s="78">
        <v>10</v>
      </c>
      <c r="B60" s="16" t="s">
        <v>49</v>
      </c>
      <c r="C60" s="78" t="s">
        <v>510</v>
      </c>
      <c r="D60" s="16" t="s">
        <v>49</v>
      </c>
      <c r="E60" s="78" t="s">
        <v>52</v>
      </c>
      <c r="F60" s="78" t="str">
        <f t="shared" si="0"/>
        <v>10-2R-80L</v>
      </c>
      <c r="G60" s="78" t="s">
        <v>3</v>
      </c>
      <c r="H60" s="75">
        <v>1120</v>
      </c>
      <c r="I60" s="78">
        <v>0.9</v>
      </c>
      <c r="J60" s="78">
        <v>0.15</v>
      </c>
      <c r="K60" s="15">
        <v>30.37</v>
      </c>
      <c r="L60" s="15">
        <v>0.48</v>
      </c>
    </row>
    <row r="61" spans="1:12" s="78" customFormat="1" x14ac:dyDescent="0.25">
      <c r="A61" s="78">
        <v>12</v>
      </c>
      <c r="B61" s="16" t="s">
        <v>49</v>
      </c>
      <c r="C61" s="78" t="s">
        <v>510</v>
      </c>
      <c r="D61" s="16" t="s">
        <v>49</v>
      </c>
      <c r="E61" s="78" t="s">
        <v>52</v>
      </c>
      <c r="F61" s="78" t="str">
        <f t="shared" si="0"/>
        <v>12-2R-80L</v>
      </c>
      <c r="G61" s="78" t="s">
        <v>4</v>
      </c>
      <c r="H61" s="75">
        <v>1600</v>
      </c>
      <c r="I61" s="78">
        <v>1.1000000000000001</v>
      </c>
      <c r="J61" s="78">
        <v>0.08</v>
      </c>
      <c r="K61" s="15">
        <v>35.22</v>
      </c>
      <c r="L61" s="15">
        <v>0.49</v>
      </c>
    </row>
    <row r="62" spans="1:12" s="78" customFormat="1" x14ac:dyDescent="0.25">
      <c r="A62" s="78">
        <v>14</v>
      </c>
      <c r="B62" s="16" t="s">
        <v>49</v>
      </c>
      <c r="C62" s="78" t="s">
        <v>510</v>
      </c>
      <c r="D62" s="16" t="s">
        <v>49</v>
      </c>
      <c r="E62" s="78" t="s">
        <v>52</v>
      </c>
      <c r="F62" s="78" t="str">
        <f t="shared" si="0"/>
        <v>14-2R-80L</v>
      </c>
      <c r="G62" s="78" t="s">
        <v>5</v>
      </c>
      <c r="H62" s="75">
        <v>2400</v>
      </c>
      <c r="I62" s="78">
        <v>2</v>
      </c>
      <c r="J62" s="78">
        <v>0.19</v>
      </c>
      <c r="K62" s="15">
        <v>63.45</v>
      </c>
      <c r="L62" s="15">
        <v>0.52</v>
      </c>
    </row>
    <row r="63" spans="1:12" s="78" customFormat="1" x14ac:dyDescent="0.25">
      <c r="A63" s="78">
        <v>16</v>
      </c>
      <c r="B63" s="16" t="s">
        <v>49</v>
      </c>
      <c r="C63" s="78" t="s">
        <v>510</v>
      </c>
      <c r="D63" s="16" t="s">
        <v>49</v>
      </c>
      <c r="E63" s="78" t="s">
        <v>52</v>
      </c>
      <c r="F63" s="78" t="str">
        <f t="shared" si="0"/>
        <v>16-2R-80L</v>
      </c>
      <c r="G63" s="78" t="s">
        <v>6</v>
      </c>
      <c r="H63" s="75">
        <v>3200</v>
      </c>
      <c r="I63" s="78">
        <v>2.2999999999999998</v>
      </c>
      <c r="J63" s="78">
        <v>0.26</v>
      </c>
      <c r="K63" s="15">
        <v>79.930000000000007</v>
      </c>
      <c r="L63" s="15">
        <v>0.61</v>
      </c>
    </row>
    <row r="64" spans="1:12" s="78" customFormat="1" ht="15.75" thickBot="1" x14ac:dyDescent="0.3">
      <c r="A64" s="78">
        <v>24</v>
      </c>
      <c r="B64" s="16" t="s">
        <v>49</v>
      </c>
      <c r="C64" s="78" t="s">
        <v>510</v>
      </c>
      <c r="D64" s="16" t="s">
        <v>49</v>
      </c>
      <c r="E64" s="78" t="s">
        <v>52</v>
      </c>
      <c r="F64" s="78" t="str">
        <f t="shared" si="0"/>
        <v>24-2R-80L</v>
      </c>
      <c r="G64" s="78" t="s">
        <v>7</v>
      </c>
      <c r="H64" s="13">
        <v>5100</v>
      </c>
      <c r="I64" s="78">
        <v>4</v>
      </c>
      <c r="J64" s="78">
        <v>0.9</v>
      </c>
      <c r="K64" s="15">
        <v>131.12</v>
      </c>
      <c r="L64" s="15">
        <v>1.1200000000000001</v>
      </c>
    </row>
    <row r="65" spans="1:12" s="78" customFormat="1" x14ac:dyDescent="0.25">
      <c r="A65" s="78">
        <v>4</v>
      </c>
      <c r="B65" s="16" t="s">
        <v>49</v>
      </c>
      <c r="C65" s="78" t="s">
        <v>510</v>
      </c>
      <c r="D65" s="16" t="s">
        <v>49</v>
      </c>
      <c r="E65" s="78" t="s">
        <v>92</v>
      </c>
      <c r="F65" s="78" t="str">
        <f t="shared" si="0"/>
        <v>4-2R-50H</v>
      </c>
      <c r="G65" s="78" t="s">
        <v>0</v>
      </c>
      <c r="H65" s="75">
        <v>180</v>
      </c>
      <c r="I65" s="78">
        <v>2.5</v>
      </c>
      <c r="J65" s="78">
        <v>3</v>
      </c>
      <c r="K65" s="15">
        <v>15.61</v>
      </c>
      <c r="L65" s="15">
        <v>0.09</v>
      </c>
    </row>
    <row r="66" spans="1:12" s="78" customFormat="1" x14ac:dyDescent="0.25">
      <c r="A66" s="78">
        <v>5</v>
      </c>
      <c r="B66" s="16" t="s">
        <v>49</v>
      </c>
      <c r="C66" s="78" t="s">
        <v>510</v>
      </c>
      <c r="D66" s="16" t="s">
        <v>49</v>
      </c>
      <c r="E66" s="78" t="s">
        <v>92</v>
      </c>
      <c r="F66" s="78" t="str">
        <f t="shared" ref="F66:F73" si="23">CONCATENATE(A66,B66,C66,D66,E66)</f>
        <v>5-2R-50H</v>
      </c>
      <c r="G66" s="78" t="s">
        <v>8</v>
      </c>
      <c r="H66" s="75">
        <v>280</v>
      </c>
      <c r="I66" s="78">
        <v>2.5</v>
      </c>
      <c r="J66" s="78">
        <v>3.01</v>
      </c>
      <c r="K66" s="15">
        <v>20.43</v>
      </c>
      <c r="L66" s="15">
        <v>0.18</v>
      </c>
    </row>
    <row r="67" spans="1:12" s="78" customFormat="1" x14ac:dyDescent="0.25">
      <c r="A67" s="78">
        <v>6</v>
      </c>
      <c r="B67" s="16" t="s">
        <v>49</v>
      </c>
      <c r="C67" s="78" t="s">
        <v>510</v>
      </c>
      <c r="D67" s="16" t="s">
        <v>49</v>
      </c>
      <c r="E67" s="78" t="s">
        <v>92</v>
      </c>
      <c r="F67" s="78" t="str">
        <f t="shared" si="23"/>
        <v>6-2R-50H</v>
      </c>
      <c r="G67" s="78" t="s">
        <v>1</v>
      </c>
      <c r="H67" s="75">
        <v>400</v>
      </c>
      <c r="I67" s="78">
        <v>2.5</v>
      </c>
      <c r="J67" s="78">
        <v>3.02</v>
      </c>
      <c r="K67" s="15">
        <v>24.62</v>
      </c>
      <c r="L67" s="15">
        <v>0.43</v>
      </c>
    </row>
    <row r="68" spans="1:12" s="78" customFormat="1" x14ac:dyDescent="0.25">
      <c r="A68" s="78">
        <v>8</v>
      </c>
      <c r="B68" s="16" t="s">
        <v>49</v>
      </c>
      <c r="C68" s="78" t="s">
        <v>510</v>
      </c>
      <c r="D68" s="16" t="s">
        <v>49</v>
      </c>
      <c r="E68" s="78" t="s">
        <v>92</v>
      </c>
      <c r="F68" s="78" t="str">
        <f t="shared" si="23"/>
        <v>8-2R-50H</v>
      </c>
      <c r="G68" s="78" t="s">
        <v>2</v>
      </c>
      <c r="H68" s="75">
        <v>720</v>
      </c>
      <c r="I68" s="78">
        <v>2.5</v>
      </c>
      <c r="J68" s="78">
        <v>0.47</v>
      </c>
      <c r="K68" s="15">
        <v>33.01</v>
      </c>
      <c r="L68" s="15">
        <v>0.51</v>
      </c>
    </row>
    <row r="69" spans="1:12" s="78" customFormat="1" x14ac:dyDescent="0.25">
      <c r="A69" s="78">
        <v>10</v>
      </c>
      <c r="B69" s="16" t="s">
        <v>49</v>
      </c>
      <c r="C69" s="78" t="s">
        <v>510</v>
      </c>
      <c r="D69" s="16" t="s">
        <v>49</v>
      </c>
      <c r="E69" s="78" t="s">
        <v>92</v>
      </c>
      <c r="F69" s="78" t="str">
        <f t="shared" si="23"/>
        <v>10-2R-50H</v>
      </c>
      <c r="G69" s="78" t="s">
        <v>3</v>
      </c>
      <c r="H69" s="75">
        <v>1120</v>
      </c>
      <c r="I69" s="78">
        <v>2.5</v>
      </c>
      <c r="J69" s="78">
        <v>0.98</v>
      </c>
      <c r="K69" s="15">
        <v>49.52</v>
      </c>
      <c r="L69" s="15">
        <v>0.48</v>
      </c>
    </row>
    <row r="70" spans="1:12" s="78" customFormat="1" x14ac:dyDescent="0.25">
      <c r="A70" s="78">
        <v>12</v>
      </c>
      <c r="B70" s="16" t="s">
        <v>49</v>
      </c>
      <c r="C70" s="78" t="s">
        <v>510</v>
      </c>
      <c r="D70" s="16" t="s">
        <v>49</v>
      </c>
      <c r="E70" s="78" t="s">
        <v>92</v>
      </c>
      <c r="F70" s="78" t="str">
        <f t="shared" si="23"/>
        <v>12-2R-50H</v>
      </c>
      <c r="G70" s="78" t="s">
        <v>4</v>
      </c>
      <c r="H70" s="75">
        <v>1600</v>
      </c>
      <c r="I70" s="78">
        <v>5</v>
      </c>
      <c r="J70" s="78">
        <v>1.31</v>
      </c>
      <c r="K70" s="15">
        <v>75.290000000000006</v>
      </c>
      <c r="L70" s="15">
        <v>0.49</v>
      </c>
    </row>
    <row r="71" spans="1:12" s="78" customFormat="1" x14ac:dyDescent="0.25">
      <c r="A71" s="78">
        <v>14</v>
      </c>
      <c r="B71" s="16" t="s">
        <v>49</v>
      </c>
      <c r="C71" s="78" t="s">
        <v>510</v>
      </c>
      <c r="D71" s="16" t="s">
        <v>49</v>
      </c>
      <c r="E71" s="78" t="s">
        <v>92</v>
      </c>
      <c r="F71" s="78" t="str">
        <f t="shared" si="23"/>
        <v>14-2R-50H</v>
      </c>
      <c r="G71" s="78" t="s">
        <v>5</v>
      </c>
      <c r="H71" s="75">
        <v>2400</v>
      </c>
      <c r="I71" s="78">
        <v>7</v>
      </c>
      <c r="J71" s="78">
        <v>1.96</v>
      </c>
      <c r="K71" s="15">
        <v>110.72</v>
      </c>
      <c r="L71" s="15">
        <v>0.52</v>
      </c>
    </row>
    <row r="72" spans="1:12" s="78" customFormat="1" x14ac:dyDescent="0.25">
      <c r="A72" s="78">
        <v>16</v>
      </c>
      <c r="B72" s="16" t="s">
        <v>49</v>
      </c>
      <c r="C72" s="78" t="s">
        <v>510</v>
      </c>
      <c r="D72" s="16" t="s">
        <v>49</v>
      </c>
      <c r="E72" s="78" t="s">
        <v>92</v>
      </c>
      <c r="F72" s="78" t="str">
        <f t="shared" si="23"/>
        <v>16-2R-50H</v>
      </c>
      <c r="G72" s="78" t="s">
        <v>6</v>
      </c>
      <c r="H72" s="75">
        <v>3200</v>
      </c>
      <c r="I72" s="78">
        <v>7.5</v>
      </c>
      <c r="J72" s="78">
        <v>2.35</v>
      </c>
      <c r="K72" s="15">
        <v>137.37</v>
      </c>
      <c r="L72" s="15">
        <v>0.61</v>
      </c>
    </row>
    <row r="73" spans="1:12" s="78" customFormat="1" ht="15.75" thickBot="1" x14ac:dyDescent="0.3">
      <c r="A73" s="78">
        <v>24</v>
      </c>
      <c r="B73" s="16" t="s">
        <v>49</v>
      </c>
      <c r="C73" s="78" t="s">
        <v>510</v>
      </c>
      <c r="D73" s="16" t="s">
        <v>49</v>
      </c>
      <c r="E73" s="78" t="s">
        <v>92</v>
      </c>
      <c r="F73" s="78" t="str">
        <f t="shared" si="23"/>
        <v>24-2R-50H</v>
      </c>
      <c r="G73" s="78" t="s">
        <v>7</v>
      </c>
      <c r="H73" s="13">
        <v>5100</v>
      </c>
      <c r="I73" s="78">
        <v>7</v>
      </c>
      <c r="J73" s="78">
        <v>2.54</v>
      </c>
      <c r="K73" s="15">
        <v>167.76</v>
      </c>
      <c r="L73" s="15">
        <v>1.1200000000000001</v>
      </c>
    </row>
    <row r="74" spans="1:12" x14ac:dyDescent="0.25">
      <c r="A74" s="78">
        <v>4</v>
      </c>
      <c r="B74" s="16" t="s">
        <v>49</v>
      </c>
      <c r="C74" s="78" t="s">
        <v>48</v>
      </c>
      <c r="D74" s="16" t="s">
        <v>49</v>
      </c>
      <c r="E74" s="78" t="s">
        <v>50</v>
      </c>
      <c r="F74" s="78" t="str">
        <f>CONCATENATE(A74,B74,C74,D74,E74)</f>
        <v>4-3R-50L</v>
      </c>
      <c r="G74" s="78" t="s">
        <v>0</v>
      </c>
      <c r="H74" s="75">
        <v>112</v>
      </c>
      <c r="I74" s="78">
        <v>0.5</v>
      </c>
      <c r="J74" s="78">
        <v>0.25</v>
      </c>
      <c r="K74" s="78">
        <v>10.96</v>
      </c>
      <c r="L74" s="78">
        <v>7.0000000000000007E-2</v>
      </c>
    </row>
    <row r="75" spans="1:12" x14ac:dyDescent="0.25">
      <c r="A75" s="78">
        <v>5</v>
      </c>
      <c r="B75" s="16" t="s">
        <v>49</v>
      </c>
      <c r="C75" s="78" t="s">
        <v>48</v>
      </c>
      <c r="D75" s="16" t="s">
        <v>49</v>
      </c>
      <c r="E75" s="78" t="s">
        <v>50</v>
      </c>
      <c r="F75" s="78" t="str">
        <f t="shared" ref="F75:F138" si="24">CONCATENATE(A75,B75,C75,D75,E75)</f>
        <v>5-3R-50L</v>
      </c>
      <c r="G75" s="78" t="s">
        <v>8</v>
      </c>
      <c r="H75" s="75">
        <v>175</v>
      </c>
      <c r="I75" s="78">
        <v>0.5</v>
      </c>
      <c r="J75" s="78">
        <v>0.26</v>
      </c>
      <c r="K75" s="78">
        <v>13.95</v>
      </c>
      <c r="L75" s="78">
        <v>0.13</v>
      </c>
    </row>
    <row r="76" spans="1:12" x14ac:dyDescent="0.25">
      <c r="A76" s="78">
        <v>6</v>
      </c>
      <c r="B76" s="16" t="s">
        <v>49</v>
      </c>
      <c r="C76" s="78" t="s">
        <v>48</v>
      </c>
      <c r="D76" s="16" t="s">
        <v>49</v>
      </c>
      <c r="E76" s="78" t="s">
        <v>50</v>
      </c>
      <c r="F76" s="78" t="str">
        <f t="shared" si="24"/>
        <v>6-3R-50L</v>
      </c>
      <c r="G76" s="78" t="s">
        <v>1</v>
      </c>
      <c r="H76" s="75">
        <v>250</v>
      </c>
      <c r="I76" s="78">
        <v>1</v>
      </c>
      <c r="J76" s="78">
        <v>0.86</v>
      </c>
      <c r="K76" s="78">
        <v>20.6</v>
      </c>
      <c r="L76" s="78">
        <v>0.26</v>
      </c>
    </row>
    <row r="77" spans="1:12" x14ac:dyDescent="0.25">
      <c r="A77" s="78">
        <v>8</v>
      </c>
      <c r="B77" s="16" t="s">
        <v>49</v>
      </c>
      <c r="C77" s="78" t="s">
        <v>48</v>
      </c>
      <c r="D77" s="16" t="s">
        <v>49</v>
      </c>
      <c r="E77" s="78" t="s">
        <v>50</v>
      </c>
      <c r="F77" s="78" t="str">
        <f t="shared" si="24"/>
        <v>8-3R-50L</v>
      </c>
      <c r="G77" s="78" t="s">
        <v>2</v>
      </c>
      <c r="H77" s="75">
        <v>450</v>
      </c>
      <c r="I77" s="78">
        <v>2.5</v>
      </c>
      <c r="J77" s="78">
        <v>0.54</v>
      </c>
      <c r="K77" s="78">
        <v>35</v>
      </c>
      <c r="L77" s="78">
        <v>0.35</v>
      </c>
    </row>
    <row r="78" spans="1:12" x14ac:dyDescent="0.25">
      <c r="A78" s="78">
        <v>10</v>
      </c>
      <c r="B78" s="16" t="s">
        <v>49</v>
      </c>
      <c r="C78" s="78" t="s">
        <v>48</v>
      </c>
      <c r="D78" s="16" t="s">
        <v>49</v>
      </c>
      <c r="E78" s="78" t="s">
        <v>50</v>
      </c>
      <c r="F78" s="78" t="str">
        <f t="shared" si="24"/>
        <v>10-3R-50L</v>
      </c>
      <c r="G78" s="78" t="s">
        <v>3</v>
      </c>
      <c r="H78" s="75">
        <v>700</v>
      </c>
      <c r="I78" s="78">
        <v>2.5</v>
      </c>
      <c r="J78" s="78">
        <v>1.34</v>
      </c>
      <c r="K78" s="78">
        <v>52.4</v>
      </c>
      <c r="L78" s="78">
        <v>0.34</v>
      </c>
    </row>
    <row r="79" spans="1:12" x14ac:dyDescent="0.25">
      <c r="A79" s="78">
        <v>12</v>
      </c>
      <c r="B79" s="16" t="s">
        <v>49</v>
      </c>
      <c r="C79" s="78" t="s">
        <v>48</v>
      </c>
      <c r="D79" s="16" t="s">
        <v>49</v>
      </c>
      <c r="E79" s="78" t="s">
        <v>50</v>
      </c>
      <c r="F79" s="78" t="str">
        <f t="shared" si="24"/>
        <v>12-3R-50L</v>
      </c>
      <c r="G79" s="78" t="s">
        <v>4</v>
      </c>
      <c r="H79" s="75">
        <v>1000</v>
      </c>
      <c r="I79" s="78">
        <v>3.5</v>
      </c>
      <c r="J79" s="78">
        <v>0.85</v>
      </c>
      <c r="K79" s="78">
        <v>69.78</v>
      </c>
      <c r="L79" s="78">
        <v>0.35</v>
      </c>
    </row>
    <row r="80" spans="1:12" x14ac:dyDescent="0.25">
      <c r="A80" s="78">
        <v>14</v>
      </c>
      <c r="B80" s="16" t="s">
        <v>49</v>
      </c>
      <c r="C80" s="78" t="s">
        <v>48</v>
      </c>
      <c r="D80" s="16" t="s">
        <v>49</v>
      </c>
      <c r="E80" s="78" t="s">
        <v>50</v>
      </c>
      <c r="F80" s="78" t="str">
        <f t="shared" si="24"/>
        <v>14-3R-50L</v>
      </c>
      <c r="G80" s="78" t="s">
        <v>5</v>
      </c>
      <c r="H80" s="75">
        <v>1500</v>
      </c>
      <c r="I80" s="78">
        <v>5</v>
      </c>
      <c r="J80" s="15">
        <v>1.26</v>
      </c>
      <c r="K80" s="78">
        <v>107.48</v>
      </c>
      <c r="L80" s="78">
        <v>0.37</v>
      </c>
    </row>
    <row r="81" spans="1:12" x14ac:dyDescent="0.25">
      <c r="A81" s="78">
        <v>16</v>
      </c>
      <c r="B81" s="16" t="s">
        <v>49</v>
      </c>
      <c r="C81" s="78" t="s">
        <v>48</v>
      </c>
      <c r="D81" s="16" t="s">
        <v>49</v>
      </c>
      <c r="E81" s="78" t="s">
        <v>50</v>
      </c>
      <c r="F81" s="78" t="str">
        <f t="shared" si="24"/>
        <v>16-3R-50L</v>
      </c>
      <c r="G81" s="78" t="s">
        <v>6</v>
      </c>
      <c r="H81" s="75">
        <v>2000</v>
      </c>
      <c r="I81" s="78">
        <v>5</v>
      </c>
      <c r="J81" s="15">
        <v>1.35</v>
      </c>
      <c r="K81" s="78">
        <v>130.77000000000001</v>
      </c>
      <c r="L81" s="78">
        <v>0.43</v>
      </c>
    </row>
    <row r="82" spans="1:12" ht="15.75" thickBot="1" x14ac:dyDescent="0.3">
      <c r="A82" s="78">
        <v>24</v>
      </c>
      <c r="B82" s="16" t="s">
        <v>49</v>
      </c>
      <c r="C82" s="78" t="s">
        <v>48</v>
      </c>
      <c r="D82" s="16" t="s">
        <v>49</v>
      </c>
      <c r="E82" s="78" t="s">
        <v>50</v>
      </c>
      <c r="F82" s="78" t="str">
        <f t="shared" si="24"/>
        <v>24-3R-50L</v>
      </c>
      <c r="G82" s="78" t="s">
        <v>7</v>
      </c>
      <c r="H82" s="13">
        <v>4000</v>
      </c>
      <c r="I82" s="78">
        <v>5</v>
      </c>
      <c r="J82" s="15">
        <v>1.45</v>
      </c>
      <c r="K82" s="78">
        <v>174.69</v>
      </c>
      <c r="L82" s="78">
        <v>1.08</v>
      </c>
    </row>
    <row r="83" spans="1:12" x14ac:dyDescent="0.25">
      <c r="A83" s="78">
        <v>4</v>
      </c>
      <c r="B83" s="16" t="s">
        <v>49</v>
      </c>
      <c r="C83" s="78" t="s">
        <v>48</v>
      </c>
      <c r="D83" s="16" t="s">
        <v>49</v>
      </c>
      <c r="E83" s="78" t="s">
        <v>92</v>
      </c>
      <c r="F83" s="78" t="str">
        <f t="shared" si="24"/>
        <v>4-3R-50H</v>
      </c>
      <c r="G83" s="78" t="s">
        <v>0</v>
      </c>
      <c r="H83" s="75">
        <v>112</v>
      </c>
      <c r="I83" s="15">
        <v>2.5</v>
      </c>
      <c r="J83" s="78">
        <v>4.3</v>
      </c>
      <c r="K83" s="15">
        <v>13.07</v>
      </c>
      <c r="L83" s="15">
        <v>7.0000000000000007E-2</v>
      </c>
    </row>
    <row r="84" spans="1:12" x14ac:dyDescent="0.25">
      <c r="A84" s="78">
        <v>5</v>
      </c>
      <c r="B84" s="16" t="s">
        <v>49</v>
      </c>
      <c r="C84" s="78" t="s">
        <v>48</v>
      </c>
      <c r="D84" s="16" t="s">
        <v>49</v>
      </c>
      <c r="E84" s="78" t="s">
        <v>92</v>
      </c>
      <c r="F84" s="78" t="str">
        <f t="shared" si="24"/>
        <v>5-3R-50H</v>
      </c>
      <c r="G84" s="78" t="s">
        <v>8</v>
      </c>
      <c r="H84" s="75">
        <v>175</v>
      </c>
      <c r="I84" s="15">
        <v>2.5</v>
      </c>
      <c r="J84" s="78">
        <v>4.3099999999999996</v>
      </c>
      <c r="K84" s="15">
        <v>18.579999999999998</v>
      </c>
      <c r="L84" s="15">
        <v>0.13</v>
      </c>
    </row>
    <row r="85" spans="1:12" x14ac:dyDescent="0.25">
      <c r="A85" s="78">
        <v>6</v>
      </c>
      <c r="B85" s="16" t="s">
        <v>49</v>
      </c>
      <c r="C85" s="78" t="s">
        <v>48</v>
      </c>
      <c r="D85" s="16" t="s">
        <v>49</v>
      </c>
      <c r="E85" s="78" t="s">
        <v>92</v>
      </c>
      <c r="F85" s="78" t="str">
        <f t="shared" si="24"/>
        <v>6-3R-50H</v>
      </c>
      <c r="G85" s="78" t="s">
        <v>1</v>
      </c>
      <c r="H85" s="75">
        <v>250</v>
      </c>
      <c r="I85" s="15">
        <v>2.5</v>
      </c>
      <c r="J85" s="78">
        <v>4.33</v>
      </c>
      <c r="K85" s="15">
        <v>23.86</v>
      </c>
      <c r="L85" s="15">
        <v>0.26</v>
      </c>
    </row>
    <row r="86" spans="1:12" x14ac:dyDescent="0.25">
      <c r="A86" s="78">
        <v>8</v>
      </c>
      <c r="B86" s="16" t="s">
        <v>49</v>
      </c>
      <c r="C86" s="78" t="s">
        <v>48</v>
      </c>
      <c r="D86" s="16" t="s">
        <v>49</v>
      </c>
      <c r="E86" s="78" t="s">
        <v>92</v>
      </c>
      <c r="F86" s="78" t="str">
        <f t="shared" si="24"/>
        <v>8-3R-50H</v>
      </c>
      <c r="G86" s="78" t="s">
        <v>2</v>
      </c>
      <c r="H86" s="75">
        <v>450</v>
      </c>
      <c r="I86" s="15">
        <v>12</v>
      </c>
      <c r="J86" s="78">
        <v>9.6199999999999992</v>
      </c>
      <c r="K86" s="15">
        <v>41.89</v>
      </c>
      <c r="L86" s="15">
        <v>0.35</v>
      </c>
    </row>
    <row r="87" spans="1:12" x14ac:dyDescent="0.25">
      <c r="A87" s="78">
        <v>10</v>
      </c>
      <c r="B87" s="16" t="s">
        <v>49</v>
      </c>
      <c r="C87" s="78" t="s">
        <v>48</v>
      </c>
      <c r="D87" s="16" t="s">
        <v>49</v>
      </c>
      <c r="E87" s="78" t="s">
        <v>92</v>
      </c>
      <c r="F87" s="78" t="str">
        <f t="shared" si="24"/>
        <v>10-3R-50H</v>
      </c>
      <c r="G87" s="78" t="s">
        <v>3</v>
      </c>
      <c r="H87" s="75">
        <v>700</v>
      </c>
      <c r="I87" s="15">
        <v>10</v>
      </c>
      <c r="J87" s="78">
        <v>17.34</v>
      </c>
      <c r="K87" s="15">
        <v>63.75</v>
      </c>
      <c r="L87" s="15">
        <v>0.34</v>
      </c>
    </row>
    <row r="88" spans="1:12" x14ac:dyDescent="0.25">
      <c r="A88" s="78">
        <v>12</v>
      </c>
      <c r="B88" s="16" t="s">
        <v>49</v>
      </c>
      <c r="C88" s="78" t="s">
        <v>48</v>
      </c>
      <c r="D88" s="16" t="s">
        <v>49</v>
      </c>
      <c r="E88" s="78" t="s">
        <v>92</v>
      </c>
      <c r="F88" s="78" t="str">
        <f t="shared" si="24"/>
        <v>12-3R-50H</v>
      </c>
      <c r="G88" s="78" t="s">
        <v>4</v>
      </c>
      <c r="H88" s="75">
        <v>1000</v>
      </c>
      <c r="I88" s="15">
        <v>14</v>
      </c>
      <c r="J88" s="78">
        <v>11.18</v>
      </c>
      <c r="K88" s="15">
        <v>86.68</v>
      </c>
      <c r="L88" s="15">
        <v>0.35</v>
      </c>
    </row>
    <row r="89" spans="1:12" x14ac:dyDescent="0.25">
      <c r="A89" s="78">
        <v>14</v>
      </c>
      <c r="B89" s="16" t="s">
        <v>49</v>
      </c>
      <c r="C89" s="78" t="s">
        <v>48</v>
      </c>
      <c r="D89" s="16" t="s">
        <v>49</v>
      </c>
      <c r="E89" s="78" t="s">
        <v>92</v>
      </c>
      <c r="F89" s="78" t="str">
        <f t="shared" si="24"/>
        <v>14-3R-50H</v>
      </c>
      <c r="G89" s="78" t="s">
        <v>5</v>
      </c>
      <c r="H89" s="75">
        <v>1500</v>
      </c>
      <c r="I89" s="15">
        <v>15</v>
      </c>
      <c r="J89" s="78">
        <v>9.93</v>
      </c>
      <c r="K89" s="15">
        <v>130.05000000000001</v>
      </c>
      <c r="L89" s="15">
        <v>0.37</v>
      </c>
    </row>
    <row r="90" spans="1:12" x14ac:dyDescent="0.25">
      <c r="A90" s="78">
        <v>16</v>
      </c>
      <c r="B90" s="16" t="s">
        <v>49</v>
      </c>
      <c r="C90" s="78" t="s">
        <v>48</v>
      </c>
      <c r="D90" s="16" t="s">
        <v>49</v>
      </c>
      <c r="E90" s="78" t="s">
        <v>92</v>
      </c>
      <c r="F90" s="78" t="str">
        <f t="shared" si="24"/>
        <v>16-3R-50H</v>
      </c>
      <c r="G90" s="78" t="s">
        <v>6</v>
      </c>
      <c r="H90" s="75">
        <v>2000</v>
      </c>
      <c r="I90" s="15">
        <v>17</v>
      </c>
      <c r="J90" s="78">
        <v>13.34</v>
      </c>
      <c r="K90" s="15">
        <v>166.98</v>
      </c>
      <c r="L90" s="15">
        <v>0.43</v>
      </c>
    </row>
    <row r="91" spans="1:12" ht="15.75" thickBot="1" x14ac:dyDescent="0.3">
      <c r="A91" s="78">
        <v>24</v>
      </c>
      <c r="B91" s="16" t="s">
        <v>49</v>
      </c>
      <c r="C91" s="78" t="s">
        <v>48</v>
      </c>
      <c r="D91" s="16" t="s">
        <v>49</v>
      </c>
      <c r="E91" s="78" t="s">
        <v>92</v>
      </c>
      <c r="F91" s="78" t="str">
        <f t="shared" si="24"/>
        <v>24-3R-50H</v>
      </c>
      <c r="G91" s="78" t="s">
        <v>7</v>
      </c>
      <c r="H91" s="13">
        <v>4000</v>
      </c>
      <c r="I91" s="15">
        <v>17</v>
      </c>
      <c r="J91" s="78">
        <v>14.1</v>
      </c>
      <c r="K91" s="15">
        <v>254.01</v>
      </c>
      <c r="L91" s="15">
        <v>1.08</v>
      </c>
    </row>
    <row r="92" spans="1:12" x14ac:dyDescent="0.25">
      <c r="A92" s="78">
        <v>4</v>
      </c>
      <c r="B92" s="16" t="s">
        <v>49</v>
      </c>
      <c r="C92" s="78" t="s">
        <v>51</v>
      </c>
      <c r="D92" s="16" t="s">
        <v>49</v>
      </c>
      <c r="E92" s="78" t="s">
        <v>50</v>
      </c>
      <c r="F92" s="78" t="str">
        <f t="shared" si="24"/>
        <v>4-4R-50L</v>
      </c>
      <c r="G92" s="78" t="s">
        <v>0</v>
      </c>
      <c r="H92" s="75">
        <v>112</v>
      </c>
      <c r="I92" s="78">
        <v>0.5</v>
      </c>
      <c r="J92" s="78">
        <v>0.34</v>
      </c>
      <c r="K92" s="78">
        <v>12.18</v>
      </c>
      <c r="L92" s="78">
        <v>0.09</v>
      </c>
    </row>
    <row r="93" spans="1:12" x14ac:dyDescent="0.25">
      <c r="A93" s="78">
        <v>5</v>
      </c>
      <c r="B93" s="16" t="s">
        <v>49</v>
      </c>
      <c r="C93" s="78" t="s">
        <v>51</v>
      </c>
      <c r="D93" s="16" t="s">
        <v>49</v>
      </c>
      <c r="E93" s="78" t="s">
        <v>50</v>
      </c>
      <c r="F93" s="78" t="str">
        <f t="shared" si="24"/>
        <v>5-4R-50L</v>
      </c>
      <c r="G93" s="78" t="s">
        <v>8</v>
      </c>
      <c r="H93" s="75">
        <v>175</v>
      </c>
      <c r="I93" s="78">
        <v>0.5</v>
      </c>
      <c r="J93" s="78">
        <v>0.34</v>
      </c>
      <c r="K93" s="78">
        <v>15.79</v>
      </c>
      <c r="L93" s="78">
        <v>0.17</v>
      </c>
    </row>
    <row r="94" spans="1:12" x14ac:dyDescent="0.25">
      <c r="A94" s="78">
        <v>6</v>
      </c>
      <c r="B94" s="16" t="s">
        <v>49</v>
      </c>
      <c r="C94" s="78" t="s">
        <v>51</v>
      </c>
      <c r="D94" s="16" t="s">
        <v>49</v>
      </c>
      <c r="E94" s="78" t="s">
        <v>50</v>
      </c>
      <c r="F94" s="78" t="str">
        <f t="shared" si="24"/>
        <v>6-4R-50L</v>
      </c>
      <c r="G94" s="78" t="s">
        <v>1</v>
      </c>
      <c r="H94" s="75">
        <v>250</v>
      </c>
      <c r="I94" s="78">
        <v>1</v>
      </c>
      <c r="J94" s="78">
        <v>1.1299999999999999</v>
      </c>
      <c r="K94" s="78">
        <v>23.54</v>
      </c>
      <c r="L94" s="78">
        <v>0.33</v>
      </c>
    </row>
    <row r="95" spans="1:12" x14ac:dyDescent="0.25">
      <c r="A95" s="78">
        <v>8</v>
      </c>
      <c r="B95" s="16" t="s">
        <v>49</v>
      </c>
      <c r="C95" s="78" t="s">
        <v>51</v>
      </c>
      <c r="D95" s="16" t="s">
        <v>49</v>
      </c>
      <c r="E95" s="78" t="s">
        <v>50</v>
      </c>
      <c r="F95" s="78" t="str">
        <f t="shared" si="24"/>
        <v>8-4R-50L</v>
      </c>
      <c r="G95" s="78" t="s">
        <v>2</v>
      </c>
      <c r="H95" s="75">
        <v>450</v>
      </c>
      <c r="I95" s="78">
        <v>2.5</v>
      </c>
      <c r="J95" s="78">
        <v>0.68</v>
      </c>
      <c r="K95" s="78">
        <v>40.68</v>
      </c>
      <c r="L95" s="78">
        <v>0.46</v>
      </c>
    </row>
    <row r="96" spans="1:12" x14ac:dyDescent="0.25">
      <c r="A96" s="78">
        <v>10</v>
      </c>
      <c r="B96" s="16" t="s">
        <v>49</v>
      </c>
      <c r="C96" s="78" t="s">
        <v>51</v>
      </c>
      <c r="D96" s="16" t="s">
        <v>49</v>
      </c>
      <c r="E96" s="78" t="s">
        <v>50</v>
      </c>
      <c r="F96" s="78" t="str">
        <f t="shared" si="24"/>
        <v>10-4R-50L</v>
      </c>
      <c r="G96" s="78" t="s">
        <v>3</v>
      </c>
      <c r="H96" s="75">
        <v>700</v>
      </c>
      <c r="I96" s="78">
        <v>2.5</v>
      </c>
      <c r="J96" s="78">
        <v>1.81</v>
      </c>
      <c r="K96" s="78">
        <v>60.5</v>
      </c>
      <c r="L96" s="78">
        <v>0.46</v>
      </c>
    </row>
    <row r="97" spans="1:12" x14ac:dyDescent="0.25">
      <c r="A97" s="78">
        <v>12</v>
      </c>
      <c r="B97" s="16" t="s">
        <v>49</v>
      </c>
      <c r="C97" s="78" t="s">
        <v>51</v>
      </c>
      <c r="D97" s="16" t="s">
        <v>49</v>
      </c>
      <c r="E97" s="78" t="s">
        <v>50</v>
      </c>
      <c r="F97" s="78" t="str">
        <f t="shared" si="24"/>
        <v>12-4R-50L</v>
      </c>
      <c r="G97" s="78" t="s">
        <v>4</v>
      </c>
      <c r="H97" s="75">
        <v>1000</v>
      </c>
      <c r="I97" s="78">
        <v>3.5</v>
      </c>
      <c r="J97" s="78">
        <v>1.02</v>
      </c>
      <c r="K97" s="78">
        <v>84.04</v>
      </c>
      <c r="L97" s="78">
        <v>0.47</v>
      </c>
    </row>
    <row r="98" spans="1:12" x14ac:dyDescent="0.25">
      <c r="A98" s="78">
        <v>14</v>
      </c>
      <c r="B98" s="16" t="s">
        <v>49</v>
      </c>
      <c r="C98" s="78" t="s">
        <v>51</v>
      </c>
      <c r="D98" s="16" t="s">
        <v>49</v>
      </c>
      <c r="E98" s="78" t="s">
        <v>50</v>
      </c>
      <c r="F98" s="78" t="str">
        <f t="shared" si="24"/>
        <v>14-4R-50L</v>
      </c>
      <c r="G98" s="78" t="s">
        <v>5</v>
      </c>
      <c r="H98" s="75">
        <v>1500</v>
      </c>
      <c r="I98" s="78">
        <v>5</v>
      </c>
      <c r="J98" s="78">
        <v>1.49</v>
      </c>
      <c r="K98" s="78">
        <v>124.5</v>
      </c>
      <c r="L98" s="78">
        <v>0.49</v>
      </c>
    </row>
    <row r="99" spans="1:12" x14ac:dyDescent="0.25">
      <c r="A99" s="78">
        <v>16</v>
      </c>
      <c r="B99" s="16" t="s">
        <v>49</v>
      </c>
      <c r="C99" s="78" t="s">
        <v>51</v>
      </c>
      <c r="D99" s="16" t="s">
        <v>49</v>
      </c>
      <c r="E99" s="78" t="s">
        <v>50</v>
      </c>
      <c r="F99" s="78" t="str">
        <f t="shared" si="24"/>
        <v>16-4R-50L</v>
      </c>
      <c r="G99" s="78" t="s">
        <v>6</v>
      </c>
      <c r="H99" s="75">
        <v>2000</v>
      </c>
      <c r="I99" s="78">
        <v>5</v>
      </c>
      <c r="J99" s="78">
        <v>1.61</v>
      </c>
      <c r="K99" s="78">
        <v>151.22999999999999</v>
      </c>
      <c r="L99" s="78">
        <v>0.56999999999999995</v>
      </c>
    </row>
    <row r="100" spans="1:12" ht="15.75" thickBot="1" x14ac:dyDescent="0.3">
      <c r="A100" s="78">
        <v>24</v>
      </c>
      <c r="B100" s="16" t="s">
        <v>49</v>
      </c>
      <c r="C100" s="78" t="s">
        <v>51</v>
      </c>
      <c r="D100" s="16" t="s">
        <v>49</v>
      </c>
      <c r="E100" s="78" t="s">
        <v>50</v>
      </c>
      <c r="F100" s="78" t="str">
        <f t="shared" si="24"/>
        <v>24-4R-50L</v>
      </c>
      <c r="G100" s="78" t="s">
        <v>7</v>
      </c>
      <c r="H100" s="13">
        <v>4000</v>
      </c>
      <c r="I100" s="78">
        <v>5</v>
      </c>
      <c r="J100" s="78">
        <v>1.75</v>
      </c>
      <c r="K100" s="78">
        <v>201.24</v>
      </c>
      <c r="L100" s="78">
        <v>1.41</v>
      </c>
    </row>
    <row r="101" spans="1:12" x14ac:dyDescent="0.25">
      <c r="A101" s="78">
        <v>4</v>
      </c>
      <c r="B101" s="16" t="s">
        <v>49</v>
      </c>
      <c r="C101" s="78" t="s">
        <v>51</v>
      </c>
      <c r="D101" s="16" t="s">
        <v>49</v>
      </c>
      <c r="E101" s="78" t="s">
        <v>92</v>
      </c>
      <c r="F101" s="78" t="str">
        <f t="shared" si="24"/>
        <v>4-4R-50H</v>
      </c>
      <c r="G101" s="78" t="s">
        <v>0</v>
      </c>
      <c r="H101" s="75">
        <v>112</v>
      </c>
      <c r="I101" s="15">
        <v>2.5</v>
      </c>
      <c r="J101" s="78">
        <v>5.61</v>
      </c>
      <c r="K101" s="78">
        <v>14.1</v>
      </c>
      <c r="L101" s="78">
        <v>0.09</v>
      </c>
    </row>
    <row r="102" spans="1:12" x14ac:dyDescent="0.25">
      <c r="A102" s="78">
        <v>5</v>
      </c>
      <c r="B102" s="16" t="s">
        <v>49</v>
      </c>
      <c r="C102" s="78" t="s">
        <v>51</v>
      </c>
      <c r="D102" s="16" t="s">
        <v>49</v>
      </c>
      <c r="E102" s="78" t="s">
        <v>92</v>
      </c>
      <c r="F102" s="78" t="str">
        <f t="shared" si="24"/>
        <v>5-4R-50H</v>
      </c>
      <c r="G102" s="78" t="s">
        <v>8</v>
      </c>
      <c r="H102" s="75">
        <v>175</v>
      </c>
      <c r="I102" s="15">
        <v>2.5</v>
      </c>
      <c r="J102" s="78">
        <v>5.63</v>
      </c>
      <c r="K102" s="78">
        <v>20.54</v>
      </c>
      <c r="L102" s="78">
        <v>0.17</v>
      </c>
    </row>
    <row r="103" spans="1:12" x14ac:dyDescent="0.25">
      <c r="A103" s="78">
        <v>6</v>
      </c>
      <c r="B103" s="16" t="s">
        <v>49</v>
      </c>
      <c r="C103" s="78" t="s">
        <v>51</v>
      </c>
      <c r="D103" s="16" t="s">
        <v>49</v>
      </c>
      <c r="E103" s="78" t="s">
        <v>92</v>
      </c>
      <c r="F103" s="78" t="str">
        <f t="shared" si="24"/>
        <v>6-4R-50H</v>
      </c>
      <c r="G103" s="78" t="s">
        <v>1</v>
      </c>
      <c r="H103" s="75">
        <v>250</v>
      </c>
      <c r="I103" s="15">
        <v>2.5</v>
      </c>
      <c r="J103" s="78">
        <v>5.64</v>
      </c>
      <c r="K103" s="78">
        <v>26.99</v>
      </c>
      <c r="L103" s="78">
        <v>0.33</v>
      </c>
    </row>
    <row r="104" spans="1:12" x14ac:dyDescent="0.25">
      <c r="A104" s="78">
        <v>8</v>
      </c>
      <c r="B104" s="16" t="s">
        <v>49</v>
      </c>
      <c r="C104" s="78" t="s">
        <v>51</v>
      </c>
      <c r="D104" s="16" t="s">
        <v>49</v>
      </c>
      <c r="E104" s="78" t="s">
        <v>92</v>
      </c>
      <c r="F104" s="78" t="str">
        <f t="shared" si="24"/>
        <v>8-4R-50H</v>
      </c>
      <c r="G104" s="78" t="s">
        <v>2</v>
      </c>
      <c r="H104" s="75">
        <v>450</v>
      </c>
      <c r="I104" s="15">
        <v>12</v>
      </c>
      <c r="J104" s="78">
        <v>11.78</v>
      </c>
      <c r="K104" s="78">
        <v>47.88</v>
      </c>
      <c r="L104" s="78">
        <v>0.46</v>
      </c>
    </row>
    <row r="105" spans="1:12" x14ac:dyDescent="0.25">
      <c r="A105" s="78">
        <v>10</v>
      </c>
      <c r="B105" s="16" t="s">
        <v>49</v>
      </c>
      <c r="C105" s="78" t="s">
        <v>51</v>
      </c>
      <c r="D105" s="16" t="s">
        <v>49</v>
      </c>
      <c r="E105" s="78" t="s">
        <v>92</v>
      </c>
      <c r="F105" s="78" t="str">
        <f t="shared" si="24"/>
        <v>10-4R-50H</v>
      </c>
      <c r="G105" s="78" t="s">
        <v>3</v>
      </c>
      <c r="H105" s="75">
        <v>700</v>
      </c>
      <c r="I105" s="15">
        <v>10</v>
      </c>
      <c r="J105" s="78">
        <v>22.61</v>
      </c>
      <c r="K105" s="78">
        <v>72.989999999999995</v>
      </c>
      <c r="L105" s="78">
        <v>0.46</v>
      </c>
    </row>
    <row r="106" spans="1:12" x14ac:dyDescent="0.25">
      <c r="A106" s="78">
        <v>12</v>
      </c>
      <c r="B106" s="16" t="s">
        <v>49</v>
      </c>
      <c r="C106" s="78" t="s">
        <v>51</v>
      </c>
      <c r="D106" s="16" t="s">
        <v>49</v>
      </c>
      <c r="E106" s="78" t="s">
        <v>92</v>
      </c>
      <c r="F106" s="78" t="str">
        <f t="shared" si="24"/>
        <v>12-4R-50H</v>
      </c>
      <c r="G106" s="78" t="s">
        <v>4</v>
      </c>
      <c r="H106" s="75">
        <v>1000</v>
      </c>
      <c r="I106" s="15">
        <v>14</v>
      </c>
      <c r="J106" s="78">
        <v>13.15</v>
      </c>
      <c r="K106" s="78">
        <v>103.25</v>
      </c>
      <c r="L106" s="78">
        <v>0.47</v>
      </c>
    </row>
    <row r="107" spans="1:12" x14ac:dyDescent="0.25">
      <c r="A107" s="78">
        <v>14</v>
      </c>
      <c r="B107" s="16" t="s">
        <v>49</v>
      </c>
      <c r="C107" s="78" t="s">
        <v>51</v>
      </c>
      <c r="D107" s="16" t="s">
        <v>49</v>
      </c>
      <c r="E107" s="78" t="s">
        <v>92</v>
      </c>
      <c r="F107" s="78" t="str">
        <f t="shared" si="24"/>
        <v>14-4R-50H</v>
      </c>
      <c r="G107" s="78" t="s">
        <v>5</v>
      </c>
      <c r="H107" s="75">
        <v>1500</v>
      </c>
      <c r="I107" s="15">
        <v>15</v>
      </c>
      <c r="J107" s="78">
        <v>11.46</v>
      </c>
      <c r="K107" s="78">
        <v>149.84</v>
      </c>
      <c r="L107" s="78">
        <v>0.49</v>
      </c>
    </row>
    <row r="108" spans="1:12" x14ac:dyDescent="0.25">
      <c r="A108" s="78">
        <v>16</v>
      </c>
      <c r="B108" s="16" t="s">
        <v>49</v>
      </c>
      <c r="C108" s="78" t="s">
        <v>51</v>
      </c>
      <c r="D108" s="16" t="s">
        <v>49</v>
      </c>
      <c r="E108" s="78" t="s">
        <v>92</v>
      </c>
      <c r="F108" s="78" t="str">
        <f t="shared" si="24"/>
        <v>16-4R-50H</v>
      </c>
      <c r="G108" s="78" t="s">
        <v>6</v>
      </c>
      <c r="H108" s="75">
        <v>2000</v>
      </c>
      <c r="I108" s="15">
        <v>17</v>
      </c>
      <c r="J108" s="78">
        <v>15.5</v>
      </c>
      <c r="K108" s="78">
        <v>193.3</v>
      </c>
      <c r="L108" s="78">
        <v>0.56999999999999995</v>
      </c>
    </row>
    <row r="109" spans="1:12" ht="15.75" thickBot="1" x14ac:dyDescent="0.3">
      <c r="A109" s="78">
        <v>24</v>
      </c>
      <c r="B109" s="16" t="s">
        <v>49</v>
      </c>
      <c r="C109" s="78" t="s">
        <v>51</v>
      </c>
      <c r="D109" s="16" t="s">
        <v>49</v>
      </c>
      <c r="E109" s="78" t="s">
        <v>92</v>
      </c>
      <c r="F109" s="78" t="str">
        <f t="shared" si="24"/>
        <v>24-4R-50H</v>
      </c>
      <c r="G109" s="78" t="s">
        <v>7</v>
      </c>
      <c r="H109" s="13">
        <v>4000</v>
      </c>
      <c r="I109" s="15">
        <v>17</v>
      </c>
      <c r="J109" s="78">
        <v>16.54</v>
      </c>
      <c r="K109" s="78">
        <v>301.32</v>
      </c>
      <c r="L109" s="78">
        <v>1.41</v>
      </c>
    </row>
    <row r="110" spans="1:12" x14ac:dyDescent="0.25">
      <c r="A110" s="78">
        <v>4</v>
      </c>
      <c r="B110" s="16" t="s">
        <v>49</v>
      </c>
      <c r="C110" s="78" t="s">
        <v>48</v>
      </c>
      <c r="D110" s="16" t="s">
        <v>49</v>
      </c>
      <c r="E110" s="78" t="s">
        <v>52</v>
      </c>
      <c r="F110" s="78" t="str">
        <f t="shared" si="24"/>
        <v>4-3R-80L</v>
      </c>
      <c r="G110" s="78" t="s">
        <v>0</v>
      </c>
      <c r="H110" s="75">
        <v>180</v>
      </c>
      <c r="I110" s="78">
        <v>0.5</v>
      </c>
      <c r="J110" s="78">
        <v>0.26</v>
      </c>
      <c r="K110" s="78">
        <v>14.14</v>
      </c>
      <c r="L110" s="78">
        <v>0.13</v>
      </c>
    </row>
    <row r="111" spans="1:12" x14ac:dyDescent="0.25">
      <c r="A111" s="78">
        <v>5</v>
      </c>
      <c r="B111" s="16" t="s">
        <v>49</v>
      </c>
      <c r="C111" s="78" t="s">
        <v>48</v>
      </c>
      <c r="D111" s="16" t="s">
        <v>49</v>
      </c>
      <c r="E111" s="78" t="s">
        <v>52</v>
      </c>
      <c r="F111" s="78" t="str">
        <f t="shared" si="24"/>
        <v>5-3R-80L</v>
      </c>
      <c r="G111" s="78" t="s">
        <v>8</v>
      </c>
      <c r="H111" s="75">
        <v>280</v>
      </c>
      <c r="I111" s="78">
        <v>0.5</v>
      </c>
      <c r="J111" s="78">
        <v>0.26</v>
      </c>
      <c r="K111" s="78">
        <v>16.79</v>
      </c>
      <c r="L111" s="78">
        <v>0.26</v>
      </c>
    </row>
    <row r="112" spans="1:12" x14ac:dyDescent="0.25">
      <c r="A112" s="78">
        <v>6</v>
      </c>
      <c r="B112" s="16" t="s">
        <v>49</v>
      </c>
      <c r="C112" s="78" t="s">
        <v>48</v>
      </c>
      <c r="D112" s="16" t="s">
        <v>49</v>
      </c>
      <c r="E112" s="78" t="s">
        <v>52</v>
      </c>
      <c r="F112" s="78" t="str">
        <f t="shared" si="24"/>
        <v>6-3R-80L</v>
      </c>
      <c r="G112" s="78" t="s">
        <v>1</v>
      </c>
      <c r="H112" s="75">
        <v>400</v>
      </c>
      <c r="I112" s="78">
        <v>1</v>
      </c>
      <c r="J112" s="78">
        <v>0.86</v>
      </c>
      <c r="K112" s="78">
        <v>25.57</v>
      </c>
      <c r="L112" s="78">
        <v>0.57999999999999996</v>
      </c>
    </row>
    <row r="113" spans="1:12" x14ac:dyDescent="0.25">
      <c r="A113" s="78">
        <v>8</v>
      </c>
      <c r="B113" s="16" t="s">
        <v>49</v>
      </c>
      <c r="C113" s="78" t="s">
        <v>48</v>
      </c>
      <c r="D113" s="16" t="s">
        <v>49</v>
      </c>
      <c r="E113" s="78" t="s">
        <v>52</v>
      </c>
      <c r="F113" s="78" t="str">
        <f t="shared" si="24"/>
        <v>8-3R-80L</v>
      </c>
      <c r="G113" s="78" t="s">
        <v>2</v>
      </c>
      <c r="H113" s="75">
        <v>720</v>
      </c>
      <c r="I113" s="78">
        <v>2.5</v>
      </c>
      <c r="J113" s="78">
        <v>0.54</v>
      </c>
      <c r="K113" s="78">
        <v>43.34</v>
      </c>
      <c r="L113" s="78">
        <v>0.74</v>
      </c>
    </row>
    <row r="114" spans="1:12" x14ac:dyDescent="0.25">
      <c r="A114" s="78">
        <v>10</v>
      </c>
      <c r="B114" s="16" t="s">
        <v>49</v>
      </c>
      <c r="C114" s="78" t="s">
        <v>48</v>
      </c>
      <c r="D114" s="16" t="s">
        <v>49</v>
      </c>
      <c r="E114" s="78" t="s">
        <v>52</v>
      </c>
      <c r="F114" s="78" t="str">
        <f t="shared" si="24"/>
        <v>10-3R-80L</v>
      </c>
      <c r="G114" s="78" t="s">
        <v>3</v>
      </c>
      <c r="H114" s="75">
        <v>1120</v>
      </c>
      <c r="I114" s="78">
        <v>2.5</v>
      </c>
      <c r="J114" s="78">
        <v>1.35</v>
      </c>
      <c r="K114" s="78">
        <v>63.78</v>
      </c>
      <c r="L114" s="78">
        <v>0.72</v>
      </c>
    </row>
    <row r="115" spans="1:12" x14ac:dyDescent="0.25">
      <c r="A115" s="78">
        <v>12</v>
      </c>
      <c r="B115" s="16" t="s">
        <v>49</v>
      </c>
      <c r="C115" s="78" t="s">
        <v>48</v>
      </c>
      <c r="D115" s="16" t="s">
        <v>49</v>
      </c>
      <c r="E115" s="78" t="s">
        <v>52</v>
      </c>
      <c r="F115" s="78" t="str">
        <f t="shared" si="24"/>
        <v>12-3R-80L</v>
      </c>
      <c r="G115" s="78" t="s">
        <v>4</v>
      </c>
      <c r="H115" s="75">
        <v>1600</v>
      </c>
      <c r="I115" s="78">
        <v>3.5</v>
      </c>
      <c r="J115" s="78">
        <v>0.85</v>
      </c>
      <c r="K115" s="78">
        <v>84.03</v>
      </c>
      <c r="L115" s="78">
        <v>0.73</v>
      </c>
    </row>
    <row r="116" spans="1:12" x14ac:dyDescent="0.25">
      <c r="A116" s="78">
        <v>14</v>
      </c>
      <c r="B116" s="16" t="s">
        <v>49</v>
      </c>
      <c r="C116" s="78" t="s">
        <v>48</v>
      </c>
      <c r="D116" s="16" t="s">
        <v>49</v>
      </c>
      <c r="E116" s="78" t="s">
        <v>52</v>
      </c>
      <c r="F116" s="78" t="str">
        <f t="shared" si="24"/>
        <v>14-3R-80L</v>
      </c>
      <c r="G116" s="78" t="s">
        <v>5</v>
      </c>
      <c r="H116" s="75">
        <v>2400</v>
      </c>
      <c r="I116" s="78">
        <v>5</v>
      </c>
      <c r="J116" s="78">
        <v>1.26</v>
      </c>
      <c r="K116" s="78">
        <v>129.44</v>
      </c>
      <c r="L116" s="78">
        <v>0.78</v>
      </c>
    </row>
    <row r="117" spans="1:12" x14ac:dyDescent="0.25">
      <c r="A117" s="78">
        <v>16</v>
      </c>
      <c r="B117" s="16" t="s">
        <v>49</v>
      </c>
      <c r="C117" s="78" t="s">
        <v>48</v>
      </c>
      <c r="D117" s="16" t="s">
        <v>49</v>
      </c>
      <c r="E117" s="78" t="s">
        <v>52</v>
      </c>
      <c r="F117" s="78" t="str">
        <f t="shared" si="24"/>
        <v>16-3R-80L</v>
      </c>
      <c r="G117" s="78" t="s">
        <v>6</v>
      </c>
      <c r="H117" s="75">
        <v>3200</v>
      </c>
      <c r="I117" s="78">
        <v>5</v>
      </c>
      <c r="J117" s="78">
        <v>1.36</v>
      </c>
      <c r="K117" s="78">
        <v>153.80000000000001</v>
      </c>
      <c r="L117" s="78">
        <v>0.91</v>
      </c>
    </row>
    <row r="118" spans="1:12" ht="15.75" thickBot="1" x14ac:dyDescent="0.3">
      <c r="A118" s="78">
        <v>24</v>
      </c>
      <c r="B118" s="16" t="s">
        <v>49</v>
      </c>
      <c r="C118" s="78" t="s">
        <v>48</v>
      </c>
      <c r="D118" s="16" t="s">
        <v>49</v>
      </c>
      <c r="E118" s="78" t="s">
        <v>52</v>
      </c>
      <c r="F118" s="78" t="str">
        <f t="shared" si="24"/>
        <v>24-3R-80L</v>
      </c>
      <c r="G118" s="78" t="s">
        <v>7</v>
      </c>
      <c r="H118" s="13">
        <v>5100</v>
      </c>
      <c r="I118" s="78">
        <v>5</v>
      </c>
      <c r="J118" s="78">
        <v>1.45</v>
      </c>
      <c r="K118" s="78">
        <v>184.83</v>
      </c>
      <c r="L118" s="78">
        <v>1.62</v>
      </c>
    </row>
    <row r="119" spans="1:12" x14ac:dyDescent="0.25">
      <c r="A119" s="78">
        <v>4</v>
      </c>
      <c r="B119" s="16" t="s">
        <v>49</v>
      </c>
      <c r="C119" s="78" t="s">
        <v>48</v>
      </c>
      <c r="D119" s="16" t="s">
        <v>49</v>
      </c>
      <c r="E119" s="78" t="s">
        <v>92</v>
      </c>
      <c r="F119" s="78" t="str">
        <f t="shared" si="24"/>
        <v>4-3R-50H</v>
      </c>
      <c r="G119" s="78" t="s">
        <v>0</v>
      </c>
      <c r="H119" s="75">
        <v>180</v>
      </c>
      <c r="I119" s="15">
        <v>2.5</v>
      </c>
      <c r="J119" s="78">
        <v>4.32</v>
      </c>
      <c r="K119" s="78">
        <v>18.97</v>
      </c>
      <c r="L119" s="78">
        <v>0.13</v>
      </c>
    </row>
    <row r="120" spans="1:12" x14ac:dyDescent="0.25">
      <c r="A120" s="78">
        <v>5</v>
      </c>
      <c r="B120" s="16" t="s">
        <v>49</v>
      </c>
      <c r="C120" s="78" t="s">
        <v>48</v>
      </c>
      <c r="D120" s="16" t="s">
        <v>49</v>
      </c>
      <c r="E120" s="78" t="s">
        <v>92</v>
      </c>
      <c r="F120" s="78" t="str">
        <f t="shared" si="24"/>
        <v>5-3R-50H</v>
      </c>
      <c r="G120" s="78" t="s">
        <v>8</v>
      </c>
      <c r="H120" s="75">
        <v>280</v>
      </c>
      <c r="I120" s="15">
        <v>2.5</v>
      </c>
      <c r="J120" s="78">
        <v>4.33</v>
      </c>
      <c r="K120" s="78">
        <v>25.67</v>
      </c>
      <c r="L120" s="78">
        <v>0.26</v>
      </c>
    </row>
    <row r="121" spans="1:12" x14ac:dyDescent="0.25">
      <c r="A121" s="78">
        <v>6</v>
      </c>
      <c r="B121" s="16" t="s">
        <v>49</v>
      </c>
      <c r="C121" s="78" t="s">
        <v>48</v>
      </c>
      <c r="D121" s="16" t="s">
        <v>49</v>
      </c>
      <c r="E121" s="78" t="s">
        <v>92</v>
      </c>
      <c r="F121" s="78" t="str">
        <f t="shared" si="24"/>
        <v>6-3R-50H</v>
      </c>
      <c r="G121" s="78" t="s">
        <v>1</v>
      </c>
      <c r="H121" s="75">
        <v>400</v>
      </c>
      <c r="I121" s="15">
        <v>2.5</v>
      </c>
      <c r="J121" s="78">
        <v>4.34</v>
      </c>
      <c r="K121" s="78">
        <v>31.65</v>
      </c>
      <c r="L121" s="78">
        <v>0.57999999999999996</v>
      </c>
    </row>
    <row r="122" spans="1:12" x14ac:dyDescent="0.25">
      <c r="A122" s="78">
        <v>8</v>
      </c>
      <c r="B122" s="16" t="s">
        <v>49</v>
      </c>
      <c r="C122" s="78" t="s">
        <v>48</v>
      </c>
      <c r="D122" s="16" t="s">
        <v>49</v>
      </c>
      <c r="E122" s="78" t="s">
        <v>92</v>
      </c>
      <c r="F122" s="78" t="str">
        <f t="shared" si="24"/>
        <v>8-3R-50H</v>
      </c>
      <c r="G122" s="78" t="s">
        <v>2</v>
      </c>
      <c r="H122" s="75">
        <v>720</v>
      </c>
      <c r="I122" s="15">
        <v>12</v>
      </c>
      <c r="J122" s="78">
        <v>9.6300000000000008</v>
      </c>
      <c r="K122" s="78">
        <v>55.78</v>
      </c>
      <c r="L122" s="78">
        <v>0.74</v>
      </c>
    </row>
    <row r="123" spans="1:12" x14ac:dyDescent="0.25">
      <c r="A123" s="78">
        <v>10</v>
      </c>
      <c r="B123" s="16" t="s">
        <v>49</v>
      </c>
      <c r="C123" s="78" t="s">
        <v>48</v>
      </c>
      <c r="D123" s="16" t="s">
        <v>49</v>
      </c>
      <c r="E123" s="78" t="s">
        <v>92</v>
      </c>
      <c r="F123" s="78" t="str">
        <f t="shared" si="24"/>
        <v>10-3R-50H</v>
      </c>
      <c r="G123" s="78" t="s">
        <v>3</v>
      </c>
      <c r="H123" s="75">
        <v>1120</v>
      </c>
      <c r="I123" s="15">
        <v>10</v>
      </c>
      <c r="J123" s="78">
        <v>17.36</v>
      </c>
      <c r="K123" s="78">
        <v>84.04</v>
      </c>
      <c r="L123" s="78">
        <v>0.72</v>
      </c>
    </row>
    <row r="124" spans="1:12" x14ac:dyDescent="0.25">
      <c r="A124" s="78">
        <v>12</v>
      </c>
      <c r="B124" s="16" t="s">
        <v>49</v>
      </c>
      <c r="C124" s="78" t="s">
        <v>48</v>
      </c>
      <c r="D124" s="16" t="s">
        <v>49</v>
      </c>
      <c r="E124" s="78" t="s">
        <v>92</v>
      </c>
      <c r="F124" s="78" t="str">
        <f t="shared" si="24"/>
        <v>12-3R-50H</v>
      </c>
      <c r="G124" s="78" t="s">
        <v>4</v>
      </c>
      <c r="H124" s="75">
        <v>1600</v>
      </c>
      <c r="I124" s="15">
        <v>14</v>
      </c>
      <c r="J124" s="78">
        <v>11.19</v>
      </c>
      <c r="K124" s="78">
        <v>113.07</v>
      </c>
      <c r="L124" s="78">
        <v>0.73</v>
      </c>
    </row>
    <row r="125" spans="1:12" x14ac:dyDescent="0.25">
      <c r="A125" s="78">
        <v>14</v>
      </c>
      <c r="B125" s="16" t="s">
        <v>49</v>
      </c>
      <c r="C125" s="78" t="s">
        <v>48</v>
      </c>
      <c r="D125" s="16" t="s">
        <v>49</v>
      </c>
      <c r="E125" s="78" t="s">
        <v>92</v>
      </c>
      <c r="F125" s="78" t="str">
        <f t="shared" si="24"/>
        <v>14-3R-50H</v>
      </c>
      <c r="G125" s="78" t="s">
        <v>5</v>
      </c>
      <c r="H125" s="75">
        <v>2400</v>
      </c>
      <c r="I125" s="15">
        <v>15</v>
      </c>
      <c r="J125" s="78">
        <v>9.94</v>
      </c>
      <c r="K125" s="78">
        <v>168.24</v>
      </c>
      <c r="L125" s="78">
        <v>0.78</v>
      </c>
    </row>
    <row r="126" spans="1:12" x14ac:dyDescent="0.25">
      <c r="A126" s="78">
        <v>16</v>
      </c>
      <c r="B126" s="16" t="s">
        <v>49</v>
      </c>
      <c r="C126" s="78" t="s">
        <v>48</v>
      </c>
      <c r="D126" s="16" t="s">
        <v>49</v>
      </c>
      <c r="E126" s="78" t="s">
        <v>92</v>
      </c>
      <c r="F126" s="78" t="str">
        <f t="shared" si="24"/>
        <v>16-3R-50H</v>
      </c>
      <c r="G126" s="78" t="s">
        <v>6</v>
      </c>
      <c r="H126" s="75">
        <v>3200</v>
      </c>
      <c r="I126" s="15">
        <v>17</v>
      </c>
      <c r="J126" s="78">
        <v>13.35</v>
      </c>
      <c r="K126" s="78">
        <v>213.72</v>
      </c>
      <c r="L126" s="78">
        <v>0.91</v>
      </c>
    </row>
    <row r="127" spans="1:12" ht="15.75" thickBot="1" x14ac:dyDescent="0.3">
      <c r="A127" s="78">
        <v>24</v>
      </c>
      <c r="B127" s="16" t="s">
        <v>49</v>
      </c>
      <c r="C127" s="78" t="s">
        <v>48</v>
      </c>
      <c r="D127" s="16" t="s">
        <v>49</v>
      </c>
      <c r="E127" s="78" t="s">
        <v>92</v>
      </c>
      <c r="F127" s="78" t="str">
        <f t="shared" si="24"/>
        <v>24-3R-50H</v>
      </c>
      <c r="G127" s="78" t="s">
        <v>7</v>
      </c>
      <c r="H127" s="13">
        <v>5100</v>
      </c>
      <c r="I127" s="15">
        <v>17</v>
      </c>
      <c r="J127" s="78">
        <v>14.12</v>
      </c>
      <c r="K127" s="78">
        <v>281.02999999999997</v>
      </c>
      <c r="L127" s="78">
        <v>1.62</v>
      </c>
    </row>
    <row r="128" spans="1:12" x14ac:dyDescent="0.25">
      <c r="A128" s="78">
        <v>4</v>
      </c>
      <c r="B128" s="16" t="s">
        <v>49</v>
      </c>
      <c r="C128" s="78" t="s">
        <v>51</v>
      </c>
      <c r="D128" s="16" t="s">
        <v>49</v>
      </c>
      <c r="E128" s="78" t="s">
        <v>52</v>
      </c>
      <c r="F128" s="78" t="str">
        <f t="shared" si="24"/>
        <v>4-4R-80L</v>
      </c>
      <c r="G128" s="78" t="s">
        <v>0</v>
      </c>
      <c r="H128" s="75">
        <v>180</v>
      </c>
      <c r="I128" s="78">
        <v>0.5</v>
      </c>
      <c r="J128" s="78">
        <v>0.34</v>
      </c>
      <c r="K128" s="78">
        <v>16.010000000000002</v>
      </c>
      <c r="L128" s="78">
        <v>0.17</v>
      </c>
    </row>
    <row r="129" spans="1:12" x14ac:dyDescent="0.25">
      <c r="A129" s="78">
        <v>5</v>
      </c>
      <c r="B129" s="16" t="s">
        <v>49</v>
      </c>
      <c r="C129" s="78" t="s">
        <v>51</v>
      </c>
      <c r="D129" s="16" t="s">
        <v>49</v>
      </c>
      <c r="E129" s="78" t="s">
        <v>52</v>
      </c>
      <c r="F129" s="78" t="str">
        <f t="shared" si="24"/>
        <v>5-4R-80L</v>
      </c>
      <c r="G129" s="78" t="s">
        <v>8</v>
      </c>
      <c r="H129" s="75">
        <v>280</v>
      </c>
      <c r="I129" s="78">
        <v>0.5</v>
      </c>
      <c r="J129" s="78">
        <v>0.34</v>
      </c>
      <c r="K129" s="78">
        <v>19.14</v>
      </c>
      <c r="L129" s="78">
        <v>0.35</v>
      </c>
    </row>
    <row r="130" spans="1:12" x14ac:dyDescent="0.25">
      <c r="A130" s="78">
        <v>6</v>
      </c>
      <c r="B130" s="16" t="s">
        <v>49</v>
      </c>
      <c r="C130" s="78" t="s">
        <v>51</v>
      </c>
      <c r="D130" s="16" t="s">
        <v>49</v>
      </c>
      <c r="E130" s="78" t="s">
        <v>52</v>
      </c>
      <c r="F130" s="78" t="str">
        <f t="shared" si="24"/>
        <v>6-4R-80L</v>
      </c>
      <c r="G130" s="78" t="s">
        <v>1</v>
      </c>
      <c r="H130" s="75">
        <v>400</v>
      </c>
      <c r="I130" s="78">
        <v>1</v>
      </c>
      <c r="J130" s="78">
        <v>1.1399999999999999</v>
      </c>
      <c r="K130" s="78">
        <v>29.65</v>
      </c>
      <c r="L130" s="78">
        <v>0.73</v>
      </c>
    </row>
    <row r="131" spans="1:12" x14ac:dyDescent="0.25">
      <c r="A131" s="78">
        <v>8</v>
      </c>
      <c r="B131" s="16" t="s">
        <v>49</v>
      </c>
      <c r="C131" s="78" t="s">
        <v>51</v>
      </c>
      <c r="D131" s="16" t="s">
        <v>49</v>
      </c>
      <c r="E131" s="78" t="s">
        <v>52</v>
      </c>
      <c r="F131" s="78" t="str">
        <f t="shared" si="24"/>
        <v>8-4R-80L</v>
      </c>
      <c r="G131" s="78" t="s">
        <v>2</v>
      </c>
      <c r="H131" s="75">
        <v>720</v>
      </c>
      <c r="I131" s="78">
        <v>2.5</v>
      </c>
      <c r="J131" s="78">
        <v>0.69</v>
      </c>
      <c r="K131" s="78">
        <v>51.36</v>
      </c>
      <c r="L131" s="78">
        <v>0.98</v>
      </c>
    </row>
    <row r="132" spans="1:12" x14ac:dyDescent="0.25">
      <c r="A132" s="78">
        <v>10</v>
      </c>
      <c r="B132" s="16" t="s">
        <v>49</v>
      </c>
      <c r="C132" s="78" t="s">
        <v>51</v>
      </c>
      <c r="D132" s="16" t="s">
        <v>49</v>
      </c>
      <c r="E132" s="78" t="s">
        <v>52</v>
      </c>
      <c r="F132" s="78" t="str">
        <f t="shared" si="24"/>
        <v>10-4R-80L</v>
      </c>
      <c r="G132" s="78" t="s">
        <v>3</v>
      </c>
      <c r="H132" s="75">
        <v>1120</v>
      </c>
      <c r="I132" s="78">
        <v>2.5</v>
      </c>
      <c r="J132" s="78">
        <v>1.83</v>
      </c>
      <c r="K132" s="78">
        <v>74.55</v>
      </c>
      <c r="L132" s="78">
        <v>0.97</v>
      </c>
    </row>
    <row r="133" spans="1:12" x14ac:dyDescent="0.25">
      <c r="A133" s="78">
        <v>12</v>
      </c>
      <c r="B133" s="16" t="s">
        <v>49</v>
      </c>
      <c r="C133" s="78" t="s">
        <v>51</v>
      </c>
      <c r="D133" s="16" t="s">
        <v>49</v>
      </c>
      <c r="E133" s="78" t="s">
        <v>52</v>
      </c>
      <c r="F133" s="78" t="str">
        <f t="shared" si="24"/>
        <v>12-4R-80L</v>
      </c>
      <c r="G133" s="78" t="s">
        <v>4</v>
      </c>
      <c r="H133" s="75">
        <v>1600</v>
      </c>
      <c r="I133" s="78">
        <v>3.5</v>
      </c>
      <c r="J133" s="78">
        <v>1.03</v>
      </c>
      <c r="K133" s="78">
        <v>102.69</v>
      </c>
      <c r="L133" s="78">
        <v>0.98</v>
      </c>
    </row>
    <row r="134" spans="1:12" x14ac:dyDescent="0.25">
      <c r="A134" s="78">
        <v>14</v>
      </c>
      <c r="B134" s="16" t="s">
        <v>49</v>
      </c>
      <c r="C134" s="78" t="s">
        <v>51</v>
      </c>
      <c r="D134" s="16" t="s">
        <v>49</v>
      </c>
      <c r="E134" s="78" t="s">
        <v>52</v>
      </c>
      <c r="F134" s="78" t="str">
        <f t="shared" si="24"/>
        <v>14-4R-80L</v>
      </c>
      <c r="G134" s="78" t="s">
        <v>5</v>
      </c>
      <c r="H134" s="75">
        <v>2400</v>
      </c>
      <c r="I134" s="78">
        <v>5</v>
      </c>
      <c r="J134" s="78">
        <v>1.5</v>
      </c>
      <c r="K134" s="78">
        <v>151.59</v>
      </c>
      <c r="L134" s="78">
        <v>1.04</v>
      </c>
    </row>
    <row r="135" spans="1:12" x14ac:dyDescent="0.25">
      <c r="A135" s="78">
        <v>16</v>
      </c>
      <c r="B135" s="16" t="s">
        <v>49</v>
      </c>
      <c r="C135" s="78" t="s">
        <v>51</v>
      </c>
      <c r="D135" s="16" t="s">
        <v>49</v>
      </c>
      <c r="E135" s="78" t="s">
        <v>52</v>
      </c>
      <c r="F135" s="78" t="str">
        <f t="shared" si="24"/>
        <v>16-4R-80L</v>
      </c>
      <c r="G135" s="78" t="s">
        <v>6</v>
      </c>
      <c r="H135" s="75">
        <v>3200</v>
      </c>
      <c r="I135" s="78">
        <v>5</v>
      </c>
      <c r="J135" s="78">
        <v>1.62</v>
      </c>
      <c r="K135" s="78">
        <v>178.8</v>
      </c>
      <c r="L135" s="78">
        <v>1.22</v>
      </c>
    </row>
    <row r="136" spans="1:12" ht="15.75" thickBot="1" x14ac:dyDescent="0.3">
      <c r="A136" s="78">
        <v>24</v>
      </c>
      <c r="B136" s="16" t="s">
        <v>49</v>
      </c>
      <c r="C136" s="78" t="s">
        <v>51</v>
      </c>
      <c r="D136" s="16" t="s">
        <v>49</v>
      </c>
      <c r="E136" s="78" t="s">
        <v>52</v>
      </c>
      <c r="F136" s="78" t="str">
        <f t="shared" si="24"/>
        <v>24-4R-80L</v>
      </c>
      <c r="G136" s="78" t="s">
        <v>7</v>
      </c>
      <c r="H136" s="13">
        <v>5100</v>
      </c>
      <c r="I136" s="78">
        <v>5</v>
      </c>
      <c r="J136" s="78">
        <v>1.76</v>
      </c>
      <c r="K136" s="78">
        <v>212.51</v>
      </c>
      <c r="L136" s="78">
        <v>2.11</v>
      </c>
    </row>
    <row r="137" spans="1:12" x14ac:dyDescent="0.25">
      <c r="A137" s="78">
        <v>4</v>
      </c>
      <c r="B137" s="16" t="s">
        <v>49</v>
      </c>
      <c r="C137" s="78" t="s">
        <v>51</v>
      </c>
      <c r="D137" s="16" t="s">
        <v>49</v>
      </c>
      <c r="E137" s="78" t="s">
        <v>92</v>
      </c>
      <c r="F137" s="78" t="str">
        <f t="shared" si="24"/>
        <v>4-4R-50H</v>
      </c>
      <c r="G137" s="78" t="s">
        <v>0</v>
      </c>
      <c r="H137" s="75">
        <v>180</v>
      </c>
      <c r="I137" s="15">
        <v>2.5</v>
      </c>
      <c r="J137" s="78">
        <v>5.63</v>
      </c>
      <c r="K137" s="78">
        <v>21.01</v>
      </c>
      <c r="L137" s="78">
        <v>0.17</v>
      </c>
    </row>
    <row r="138" spans="1:12" x14ac:dyDescent="0.25">
      <c r="A138" s="78">
        <v>5</v>
      </c>
      <c r="B138" s="16" t="s">
        <v>49</v>
      </c>
      <c r="C138" s="78" t="s">
        <v>51</v>
      </c>
      <c r="D138" s="16" t="s">
        <v>49</v>
      </c>
      <c r="E138" s="78" t="s">
        <v>92</v>
      </c>
      <c r="F138" s="78" t="str">
        <f t="shared" si="24"/>
        <v>5-4R-50H</v>
      </c>
      <c r="G138" s="78" t="s">
        <v>8</v>
      </c>
      <c r="H138" s="75">
        <v>280</v>
      </c>
      <c r="I138" s="15">
        <v>2.5</v>
      </c>
      <c r="J138" s="78">
        <v>5.65</v>
      </c>
      <c r="K138" s="78">
        <v>29.24</v>
      </c>
      <c r="L138" s="78">
        <v>0.35</v>
      </c>
    </row>
    <row r="139" spans="1:12" x14ac:dyDescent="0.25">
      <c r="A139" s="78">
        <v>6</v>
      </c>
      <c r="B139" s="16" t="s">
        <v>49</v>
      </c>
      <c r="C139" s="78" t="s">
        <v>51</v>
      </c>
      <c r="D139" s="16" t="s">
        <v>49</v>
      </c>
      <c r="E139" s="78" t="s">
        <v>92</v>
      </c>
      <c r="F139" s="78" t="str">
        <f t="shared" ref="F139:F145" si="25">CONCATENATE(A139,B139,C139,D139,E139)</f>
        <v>6-4R-50H</v>
      </c>
      <c r="G139" s="78" t="s">
        <v>1</v>
      </c>
      <c r="H139" s="75">
        <v>400</v>
      </c>
      <c r="I139" s="15">
        <v>2.5</v>
      </c>
      <c r="J139" s="78">
        <v>5.67</v>
      </c>
      <c r="K139" s="78">
        <v>36.78</v>
      </c>
      <c r="L139" s="78">
        <v>0.73</v>
      </c>
    </row>
    <row r="140" spans="1:12" x14ac:dyDescent="0.25">
      <c r="A140" s="78">
        <v>8</v>
      </c>
      <c r="B140" s="16" t="s">
        <v>49</v>
      </c>
      <c r="C140" s="78" t="s">
        <v>51</v>
      </c>
      <c r="D140" s="16" t="s">
        <v>49</v>
      </c>
      <c r="E140" s="78" t="s">
        <v>92</v>
      </c>
      <c r="F140" s="78" t="str">
        <f t="shared" si="25"/>
        <v>8-4R-50H</v>
      </c>
      <c r="G140" s="78" t="s">
        <v>2</v>
      </c>
      <c r="H140" s="75">
        <v>720</v>
      </c>
      <c r="I140" s="15">
        <v>12</v>
      </c>
      <c r="J140" s="78">
        <v>11.8</v>
      </c>
      <c r="K140" s="78">
        <v>65.709999999999994</v>
      </c>
      <c r="L140" s="78">
        <v>0.98</v>
      </c>
    </row>
    <row r="141" spans="1:12" x14ac:dyDescent="0.25">
      <c r="A141" s="78">
        <v>10</v>
      </c>
      <c r="B141" s="16" t="s">
        <v>49</v>
      </c>
      <c r="C141" s="78" t="s">
        <v>51</v>
      </c>
      <c r="D141" s="16" t="s">
        <v>49</v>
      </c>
      <c r="E141" s="78" t="s">
        <v>92</v>
      </c>
      <c r="F141" s="78" t="str">
        <f t="shared" si="25"/>
        <v>10-4R-50H</v>
      </c>
      <c r="G141" s="78" t="s">
        <v>3</v>
      </c>
      <c r="H141" s="75">
        <v>1120</v>
      </c>
      <c r="I141" s="15">
        <v>10</v>
      </c>
      <c r="J141" s="78">
        <v>22.65</v>
      </c>
      <c r="K141" s="78">
        <v>98.94</v>
      </c>
      <c r="L141" s="78">
        <v>0.97</v>
      </c>
    </row>
    <row r="142" spans="1:12" x14ac:dyDescent="0.25">
      <c r="A142" s="78">
        <v>12</v>
      </c>
      <c r="B142" s="16" t="s">
        <v>49</v>
      </c>
      <c r="C142" s="78" t="s">
        <v>51</v>
      </c>
      <c r="D142" s="16" t="s">
        <v>49</v>
      </c>
      <c r="E142" s="78" t="s">
        <v>92</v>
      </c>
      <c r="F142" s="78" t="str">
        <f t="shared" si="25"/>
        <v>12-4R-50H</v>
      </c>
      <c r="G142" s="78" t="s">
        <v>4</v>
      </c>
      <c r="H142" s="75">
        <v>1600</v>
      </c>
      <c r="I142" s="15">
        <v>14</v>
      </c>
      <c r="J142" s="78">
        <v>13.18</v>
      </c>
      <c r="K142" s="78">
        <v>139.32</v>
      </c>
      <c r="L142" s="78">
        <v>0.98</v>
      </c>
    </row>
    <row r="143" spans="1:12" x14ac:dyDescent="0.25">
      <c r="A143" s="78">
        <v>14</v>
      </c>
      <c r="B143" s="16" t="s">
        <v>49</v>
      </c>
      <c r="C143" s="78" t="s">
        <v>51</v>
      </c>
      <c r="D143" s="16" t="s">
        <v>49</v>
      </c>
      <c r="E143" s="78" t="s">
        <v>92</v>
      </c>
      <c r="F143" s="78" t="str">
        <f t="shared" si="25"/>
        <v>14-4R-50H</v>
      </c>
      <c r="G143" s="78" t="s">
        <v>5</v>
      </c>
      <c r="H143" s="75">
        <v>2400</v>
      </c>
      <c r="I143" s="15">
        <v>15</v>
      </c>
      <c r="J143" s="78">
        <v>11.48</v>
      </c>
      <c r="K143" s="78">
        <v>198.86</v>
      </c>
      <c r="L143" s="78">
        <v>1.04</v>
      </c>
    </row>
    <row r="144" spans="1:12" x14ac:dyDescent="0.25">
      <c r="A144" s="78">
        <v>16</v>
      </c>
      <c r="B144" s="16" t="s">
        <v>49</v>
      </c>
      <c r="C144" s="78" t="s">
        <v>51</v>
      </c>
      <c r="D144" s="16" t="s">
        <v>49</v>
      </c>
      <c r="E144" s="78" t="s">
        <v>92</v>
      </c>
      <c r="F144" s="78" t="str">
        <f t="shared" si="25"/>
        <v>16-4R-50H</v>
      </c>
      <c r="G144" s="78" t="s">
        <v>6</v>
      </c>
      <c r="H144" s="75">
        <v>3200</v>
      </c>
      <c r="I144" s="15">
        <v>17</v>
      </c>
      <c r="J144" s="78">
        <v>15.53</v>
      </c>
      <c r="K144" s="78">
        <v>253.36</v>
      </c>
      <c r="L144" s="78">
        <v>1.22</v>
      </c>
    </row>
    <row r="145" spans="1:12" ht="15.75" thickBot="1" x14ac:dyDescent="0.3">
      <c r="A145" s="78">
        <v>24</v>
      </c>
      <c r="B145" s="16" t="s">
        <v>49</v>
      </c>
      <c r="C145" s="78" t="s">
        <v>51</v>
      </c>
      <c r="D145" s="16" t="s">
        <v>49</v>
      </c>
      <c r="E145" s="78" t="s">
        <v>92</v>
      </c>
      <c r="F145" s="78" t="str">
        <f t="shared" si="25"/>
        <v>24-4R-50H</v>
      </c>
      <c r="G145" s="78" t="s">
        <v>7</v>
      </c>
      <c r="H145" s="13">
        <v>5100</v>
      </c>
      <c r="I145" s="15">
        <v>17</v>
      </c>
      <c r="J145" s="78">
        <v>16.559999999999999</v>
      </c>
      <c r="K145" s="78">
        <v>336.12</v>
      </c>
      <c r="L145" s="78">
        <v>2.11</v>
      </c>
    </row>
  </sheetData>
  <autoFilter ref="A1:M145" xr:uid="{E755418D-5CA1-4586-BA99-4DF972393737}"/>
  <mergeCells count="4">
    <mergeCell ref="O1:V1"/>
    <mergeCell ref="O13:V13"/>
    <mergeCell ref="O25:V25"/>
    <mergeCell ref="O37:V3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I95"/>
  <sheetViews>
    <sheetView workbookViewId="0">
      <selection activeCell="O9" sqref="O9"/>
    </sheetView>
  </sheetViews>
  <sheetFormatPr defaultColWidth="9.140625" defaultRowHeight="15" x14ac:dyDescent="0.25"/>
  <cols>
    <col min="1" max="1" width="10.5703125" style="52" customWidth="1"/>
    <col min="2" max="2" width="9.5703125" style="52" customWidth="1"/>
    <col min="3" max="35" width="12.7109375" style="52" customWidth="1"/>
    <col min="36" max="16384" width="9.140625" style="52"/>
  </cols>
  <sheetData>
    <row r="1" spans="1:35" ht="12.75" customHeight="1" thickBot="1" x14ac:dyDescent="0.3">
      <c r="A1" s="146" t="s">
        <v>101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</row>
    <row r="2" spans="1:35" ht="12.75" customHeight="1" thickBot="1" x14ac:dyDescent="0.3">
      <c r="A2" s="147" t="s">
        <v>102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</row>
    <row r="3" spans="1:35" ht="12.75" customHeight="1" thickBot="1" x14ac:dyDescent="0.3">
      <c r="A3" s="148" t="s">
        <v>103</v>
      </c>
      <c r="B3" s="148" t="s">
        <v>104</v>
      </c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</row>
    <row r="4" spans="1:35" ht="38.25" customHeight="1" x14ac:dyDescent="0.25">
      <c r="A4" s="149"/>
      <c r="B4" s="149"/>
      <c r="C4" s="53" t="s">
        <v>105</v>
      </c>
      <c r="D4" s="54" t="s">
        <v>106</v>
      </c>
      <c r="E4" s="54" t="s">
        <v>107</v>
      </c>
      <c r="F4" s="54" t="s">
        <v>108</v>
      </c>
      <c r="G4" s="54" t="s">
        <v>109</v>
      </c>
      <c r="H4" s="54" t="s">
        <v>110</v>
      </c>
      <c r="I4" s="54" t="s">
        <v>111</v>
      </c>
      <c r="J4" s="54" t="s">
        <v>112</v>
      </c>
      <c r="K4" s="54" t="s">
        <v>113</v>
      </c>
      <c r="L4" s="54" t="s">
        <v>114</v>
      </c>
      <c r="M4" s="54" t="s">
        <v>115</v>
      </c>
      <c r="N4" s="54" t="s">
        <v>116</v>
      </c>
      <c r="O4" s="54" t="s">
        <v>117</v>
      </c>
      <c r="P4" s="54" t="s">
        <v>118</v>
      </c>
      <c r="Q4" s="54" t="s">
        <v>119</v>
      </c>
      <c r="R4" s="54" t="s">
        <v>120</v>
      </c>
      <c r="S4" s="54" t="s">
        <v>121</v>
      </c>
      <c r="T4" s="54" t="s">
        <v>122</v>
      </c>
      <c r="U4" s="54" t="s">
        <v>123</v>
      </c>
      <c r="V4" s="54" t="s">
        <v>124</v>
      </c>
      <c r="W4" s="54" t="s">
        <v>125</v>
      </c>
      <c r="X4" s="54" t="s">
        <v>126</v>
      </c>
      <c r="Y4" s="54" t="s">
        <v>127</v>
      </c>
      <c r="Z4" s="54" t="s">
        <v>128</v>
      </c>
      <c r="AA4" s="54" t="s">
        <v>129</v>
      </c>
      <c r="AB4" s="54" t="s">
        <v>130</v>
      </c>
      <c r="AC4" s="54" t="s">
        <v>131</v>
      </c>
      <c r="AD4" s="54" t="s">
        <v>132</v>
      </c>
      <c r="AE4" s="54" t="s">
        <v>133</v>
      </c>
      <c r="AF4" s="54" t="s">
        <v>134</v>
      </c>
      <c r="AG4" s="54" t="s">
        <v>135</v>
      </c>
      <c r="AH4" s="54" t="s">
        <v>136</v>
      </c>
      <c r="AI4" s="55" t="s">
        <v>137</v>
      </c>
    </row>
    <row r="5" spans="1:35" ht="12.75" customHeight="1" thickBot="1" x14ac:dyDescent="0.3">
      <c r="A5" s="150"/>
      <c r="B5" s="150"/>
      <c r="C5" s="56" t="s">
        <v>138</v>
      </c>
      <c r="D5" s="57" t="s">
        <v>138</v>
      </c>
      <c r="E5" s="57" t="s">
        <v>139</v>
      </c>
      <c r="F5" s="57" t="s">
        <v>139</v>
      </c>
      <c r="G5" s="57" t="s">
        <v>140</v>
      </c>
      <c r="H5" s="57" t="s">
        <v>139</v>
      </c>
      <c r="I5" s="57" t="s">
        <v>138</v>
      </c>
      <c r="J5" s="57" t="s">
        <v>141</v>
      </c>
      <c r="K5" s="57" t="s">
        <v>142</v>
      </c>
      <c r="L5" s="57" t="s">
        <v>138</v>
      </c>
      <c r="M5" s="57" t="s">
        <v>142</v>
      </c>
      <c r="N5" s="57" t="s">
        <v>143</v>
      </c>
      <c r="O5" s="57" t="s">
        <v>142</v>
      </c>
      <c r="P5" s="57" t="s">
        <v>144</v>
      </c>
      <c r="Q5" s="57" t="s">
        <v>145</v>
      </c>
      <c r="R5" s="57" t="s">
        <v>138</v>
      </c>
      <c r="S5" s="57" t="s">
        <v>146</v>
      </c>
      <c r="T5" s="57" t="s">
        <v>146</v>
      </c>
      <c r="U5" s="57" t="s">
        <v>146</v>
      </c>
      <c r="V5" s="57" t="s">
        <v>146</v>
      </c>
      <c r="W5" s="57" t="s">
        <v>146</v>
      </c>
      <c r="X5" s="57" t="s">
        <v>146</v>
      </c>
      <c r="Y5" s="57" t="s">
        <v>147</v>
      </c>
      <c r="Z5" s="57" t="s">
        <v>146</v>
      </c>
      <c r="AA5" s="57" t="s">
        <v>146</v>
      </c>
      <c r="AB5" s="57" t="s">
        <v>146</v>
      </c>
      <c r="AC5" s="57" t="s">
        <v>146</v>
      </c>
      <c r="AD5" s="57" t="s">
        <v>146</v>
      </c>
      <c r="AE5" s="57" t="s">
        <v>146</v>
      </c>
      <c r="AF5" s="57" t="s">
        <v>147</v>
      </c>
      <c r="AG5" s="57" t="s">
        <v>140</v>
      </c>
      <c r="AH5" s="57" t="s">
        <v>138</v>
      </c>
      <c r="AI5" s="58" t="s">
        <v>138</v>
      </c>
    </row>
    <row r="6" spans="1:35" ht="38.25" customHeight="1" x14ac:dyDescent="0.25">
      <c r="A6" s="59" t="s">
        <v>148</v>
      </c>
      <c r="B6" s="59">
        <v>1</v>
      </c>
      <c r="C6" s="60" t="s">
        <v>149</v>
      </c>
      <c r="D6" s="61" t="s">
        <v>150</v>
      </c>
      <c r="E6" s="61">
        <v>112</v>
      </c>
      <c r="F6" s="61">
        <v>112</v>
      </c>
      <c r="G6" s="61">
        <v>0.04</v>
      </c>
      <c r="H6" s="61">
        <v>112</v>
      </c>
      <c r="I6" s="61" t="s">
        <v>151</v>
      </c>
      <c r="J6" s="61">
        <v>22</v>
      </c>
      <c r="K6" s="61">
        <v>55</v>
      </c>
      <c r="L6" s="61" t="s">
        <v>152</v>
      </c>
      <c r="M6" s="61">
        <v>180</v>
      </c>
      <c r="N6" s="61">
        <v>0.5</v>
      </c>
      <c r="O6" s="61">
        <v>40.74</v>
      </c>
      <c r="P6" s="61">
        <v>0.25</v>
      </c>
      <c r="Q6" s="61">
        <v>10.19</v>
      </c>
      <c r="R6" s="61" t="s">
        <v>153</v>
      </c>
      <c r="S6" s="61" t="s">
        <v>138</v>
      </c>
      <c r="T6" s="61" t="s">
        <v>138</v>
      </c>
      <c r="U6" s="61" t="s">
        <v>138</v>
      </c>
      <c r="V6" s="61" t="s">
        <v>138</v>
      </c>
      <c r="W6" s="61" t="s">
        <v>138</v>
      </c>
      <c r="X6" s="61" t="s">
        <v>138</v>
      </c>
      <c r="Y6" s="61" t="s">
        <v>138</v>
      </c>
      <c r="Z6" s="61" t="s">
        <v>138</v>
      </c>
      <c r="AA6" s="61" t="s">
        <v>138</v>
      </c>
      <c r="AB6" s="61" t="s">
        <v>138</v>
      </c>
      <c r="AC6" s="61" t="s">
        <v>138</v>
      </c>
      <c r="AD6" s="61" t="s">
        <v>138</v>
      </c>
      <c r="AE6" s="61" t="s">
        <v>138</v>
      </c>
      <c r="AF6" s="61" t="s">
        <v>138</v>
      </c>
      <c r="AG6" s="61" t="s">
        <v>138</v>
      </c>
      <c r="AH6" s="61" t="s">
        <v>138</v>
      </c>
      <c r="AI6" s="62" t="s">
        <v>138</v>
      </c>
    </row>
    <row r="7" spans="1:35" ht="38.25" customHeight="1" x14ac:dyDescent="0.25">
      <c r="A7" s="63" t="s">
        <v>154</v>
      </c>
      <c r="B7" s="63">
        <v>1</v>
      </c>
      <c r="C7" s="64" t="s">
        <v>149</v>
      </c>
      <c r="D7" s="51" t="s">
        <v>155</v>
      </c>
      <c r="E7" s="51">
        <v>175</v>
      </c>
      <c r="F7" s="51">
        <v>175</v>
      </c>
      <c r="G7" s="51">
        <v>0.09</v>
      </c>
      <c r="H7" s="51">
        <v>175</v>
      </c>
      <c r="I7" s="51" t="s">
        <v>151</v>
      </c>
      <c r="J7" s="51">
        <v>22</v>
      </c>
      <c r="K7" s="51">
        <v>55</v>
      </c>
      <c r="L7" s="51" t="s">
        <v>152</v>
      </c>
      <c r="M7" s="51">
        <v>180</v>
      </c>
      <c r="N7" s="51">
        <v>0.5</v>
      </c>
      <c r="O7" s="51">
        <v>51.63</v>
      </c>
      <c r="P7" s="51">
        <v>0.25</v>
      </c>
      <c r="Q7" s="51">
        <v>12.91</v>
      </c>
      <c r="R7" s="51" t="s">
        <v>153</v>
      </c>
      <c r="S7" s="51" t="s">
        <v>138</v>
      </c>
      <c r="T7" s="51" t="s">
        <v>138</v>
      </c>
      <c r="U7" s="51" t="s">
        <v>138</v>
      </c>
      <c r="V7" s="51" t="s">
        <v>138</v>
      </c>
      <c r="W7" s="51" t="s">
        <v>138</v>
      </c>
      <c r="X7" s="51" t="s">
        <v>138</v>
      </c>
      <c r="Y7" s="51" t="s">
        <v>138</v>
      </c>
      <c r="Z7" s="51" t="s">
        <v>138</v>
      </c>
      <c r="AA7" s="51" t="s">
        <v>138</v>
      </c>
      <c r="AB7" s="51" t="s">
        <v>138</v>
      </c>
      <c r="AC7" s="51" t="s">
        <v>138</v>
      </c>
      <c r="AD7" s="51" t="s">
        <v>138</v>
      </c>
      <c r="AE7" s="51" t="s">
        <v>138</v>
      </c>
      <c r="AF7" s="51" t="s">
        <v>138</v>
      </c>
      <c r="AG7" s="51" t="s">
        <v>138</v>
      </c>
      <c r="AH7" s="51" t="s">
        <v>138</v>
      </c>
      <c r="AI7" s="65" t="s">
        <v>138</v>
      </c>
    </row>
    <row r="8" spans="1:35" ht="38.25" customHeight="1" x14ac:dyDescent="0.25">
      <c r="A8" s="63" t="s">
        <v>156</v>
      </c>
      <c r="B8" s="63">
        <v>1</v>
      </c>
      <c r="C8" s="64" t="s">
        <v>149</v>
      </c>
      <c r="D8" s="51" t="s">
        <v>157</v>
      </c>
      <c r="E8" s="51">
        <v>250</v>
      </c>
      <c r="F8" s="51">
        <v>250</v>
      </c>
      <c r="G8" s="51">
        <v>0.18</v>
      </c>
      <c r="H8" s="51">
        <v>250</v>
      </c>
      <c r="I8" s="51" t="s">
        <v>151</v>
      </c>
      <c r="J8" s="51">
        <v>22</v>
      </c>
      <c r="K8" s="51">
        <v>55</v>
      </c>
      <c r="L8" s="51" t="s">
        <v>152</v>
      </c>
      <c r="M8" s="51">
        <v>180</v>
      </c>
      <c r="N8" s="51">
        <v>1</v>
      </c>
      <c r="O8" s="51">
        <v>37.479999999999997</v>
      </c>
      <c r="P8" s="51">
        <v>0.84</v>
      </c>
      <c r="Q8" s="51">
        <v>18.75</v>
      </c>
      <c r="R8" s="51" t="s">
        <v>153</v>
      </c>
      <c r="S8" s="51" t="s">
        <v>138</v>
      </c>
      <c r="T8" s="51" t="s">
        <v>138</v>
      </c>
      <c r="U8" s="51" t="s">
        <v>138</v>
      </c>
      <c r="V8" s="51" t="s">
        <v>138</v>
      </c>
      <c r="W8" s="51" t="s">
        <v>138</v>
      </c>
      <c r="X8" s="51" t="s">
        <v>138</v>
      </c>
      <c r="Y8" s="51" t="s">
        <v>138</v>
      </c>
      <c r="Z8" s="51" t="s">
        <v>138</v>
      </c>
      <c r="AA8" s="51" t="s">
        <v>138</v>
      </c>
      <c r="AB8" s="51" t="s">
        <v>138</v>
      </c>
      <c r="AC8" s="51" t="s">
        <v>138</v>
      </c>
      <c r="AD8" s="51" t="s">
        <v>138</v>
      </c>
      <c r="AE8" s="51" t="s">
        <v>138</v>
      </c>
      <c r="AF8" s="51" t="s">
        <v>138</v>
      </c>
      <c r="AG8" s="51" t="s">
        <v>138</v>
      </c>
      <c r="AH8" s="51" t="s">
        <v>138</v>
      </c>
      <c r="AI8" s="65" t="s">
        <v>138</v>
      </c>
    </row>
    <row r="9" spans="1:35" ht="38.25" customHeight="1" x14ac:dyDescent="0.25">
      <c r="A9" s="63" t="s">
        <v>158</v>
      </c>
      <c r="B9" s="63">
        <v>1</v>
      </c>
      <c r="C9" s="64" t="s">
        <v>149</v>
      </c>
      <c r="D9" s="51" t="s">
        <v>159</v>
      </c>
      <c r="E9" s="51">
        <v>450</v>
      </c>
      <c r="F9" s="51">
        <v>450</v>
      </c>
      <c r="G9" s="51">
        <v>0.28999999999999998</v>
      </c>
      <c r="H9" s="51">
        <v>450</v>
      </c>
      <c r="I9" s="51" t="s">
        <v>151</v>
      </c>
      <c r="J9" s="51">
        <v>24</v>
      </c>
      <c r="K9" s="51">
        <v>55</v>
      </c>
      <c r="L9" s="51" t="s">
        <v>152</v>
      </c>
      <c r="M9" s="51">
        <v>180</v>
      </c>
      <c r="N9" s="51">
        <v>2.5</v>
      </c>
      <c r="O9" s="51">
        <v>25.26</v>
      </c>
      <c r="P9" s="51">
        <v>0.53</v>
      </c>
      <c r="Q9" s="51">
        <v>31.61</v>
      </c>
      <c r="R9" s="51" t="s">
        <v>153</v>
      </c>
      <c r="S9" s="51" t="s">
        <v>138</v>
      </c>
      <c r="T9" s="51" t="s">
        <v>138</v>
      </c>
      <c r="U9" s="51" t="s">
        <v>138</v>
      </c>
      <c r="V9" s="51" t="s">
        <v>138</v>
      </c>
      <c r="W9" s="51" t="s">
        <v>138</v>
      </c>
      <c r="X9" s="51" t="s">
        <v>138</v>
      </c>
      <c r="Y9" s="51" t="s">
        <v>138</v>
      </c>
      <c r="Z9" s="51" t="s">
        <v>138</v>
      </c>
      <c r="AA9" s="51" t="s">
        <v>138</v>
      </c>
      <c r="AB9" s="51" t="s">
        <v>138</v>
      </c>
      <c r="AC9" s="51" t="s">
        <v>138</v>
      </c>
      <c r="AD9" s="51" t="s">
        <v>138</v>
      </c>
      <c r="AE9" s="51" t="s">
        <v>138</v>
      </c>
      <c r="AF9" s="51" t="s">
        <v>138</v>
      </c>
      <c r="AG9" s="51" t="s">
        <v>138</v>
      </c>
      <c r="AH9" s="51" t="s">
        <v>138</v>
      </c>
      <c r="AI9" s="65" t="s">
        <v>138</v>
      </c>
    </row>
    <row r="10" spans="1:35" ht="38.25" customHeight="1" x14ac:dyDescent="0.25">
      <c r="A10" s="63" t="s">
        <v>160</v>
      </c>
      <c r="B10" s="63">
        <v>1</v>
      </c>
      <c r="C10" s="64" t="s">
        <v>149</v>
      </c>
      <c r="D10" s="51" t="s">
        <v>161</v>
      </c>
      <c r="E10" s="51">
        <v>700</v>
      </c>
      <c r="F10" s="51">
        <v>700</v>
      </c>
      <c r="G10" s="51">
        <v>0.3</v>
      </c>
      <c r="H10" s="51">
        <v>700</v>
      </c>
      <c r="I10" s="51" t="s">
        <v>151</v>
      </c>
      <c r="J10" s="51">
        <v>32</v>
      </c>
      <c r="K10" s="51">
        <v>55</v>
      </c>
      <c r="L10" s="51" t="s">
        <v>152</v>
      </c>
      <c r="M10" s="51">
        <v>180</v>
      </c>
      <c r="N10" s="51">
        <v>2.5</v>
      </c>
      <c r="O10" s="51">
        <v>38.08</v>
      </c>
      <c r="P10" s="51">
        <v>1.32</v>
      </c>
      <c r="Q10" s="51">
        <v>47.62</v>
      </c>
      <c r="R10" s="51" t="s">
        <v>153</v>
      </c>
      <c r="S10" s="51" t="s">
        <v>138</v>
      </c>
      <c r="T10" s="51" t="s">
        <v>138</v>
      </c>
      <c r="U10" s="51" t="s">
        <v>138</v>
      </c>
      <c r="V10" s="51" t="s">
        <v>138</v>
      </c>
      <c r="W10" s="51" t="s">
        <v>138</v>
      </c>
      <c r="X10" s="51" t="s">
        <v>138</v>
      </c>
      <c r="Y10" s="51" t="s">
        <v>138</v>
      </c>
      <c r="Z10" s="51" t="s">
        <v>138</v>
      </c>
      <c r="AA10" s="51" t="s">
        <v>138</v>
      </c>
      <c r="AB10" s="51" t="s">
        <v>138</v>
      </c>
      <c r="AC10" s="51" t="s">
        <v>138</v>
      </c>
      <c r="AD10" s="51" t="s">
        <v>138</v>
      </c>
      <c r="AE10" s="51" t="s">
        <v>138</v>
      </c>
      <c r="AF10" s="51" t="s">
        <v>138</v>
      </c>
      <c r="AG10" s="51" t="s">
        <v>138</v>
      </c>
      <c r="AH10" s="51" t="s">
        <v>138</v>
      </c>
      <c r="AI10" s="65" t="s">
        <v>138</v>
      </c>
    </row>
    <row r="11" spans="1:35" ht="38.25" customHeight="1" x14ac:dyDescent="0.25">
      <c r="A11" s="63" t="s">
        <v>162</v>
      </c>
      <c r="B11" s="63">
        <v>1</v>
      </c>
      <c r="C11" s="64" t="s">
        <v>149</v>
      </c>
      <c r="D11" s="51" t="s">
        <v>163</v>
      </c>
      <c r="E11" s="51">
        <v>1000</v>
      </c>
      <c r="F11" s="51">
        <v>1000</v>
      </c>
      <c r="G11" s="51">
        <v>0.32</v>
      </c>
      <c r="H11" s="51">
        <v>1000</v>
      </c>
      <c r="I11" s="51" t="s">
        <v>151</v>
      </c>
      <c r="J11" s="51">
        <v>41</v>
      </c>
      <c r="K11" s="51">
        <v>55</v>
      </c>
      <c r="L11" s="51" t="s">
        <v>152</v>
      </c>
      <c r="M11" s="51">
        <v>180</v>
      </c>
      <c r="N11" s="51">
        <v>3.5</v>
      </c>
      <c r="O11" s="51">
        <v>36.369999999999997</v>
      </c>
      <c r="P11" s="51">
        <v>0.83</v>
      </c>
      <c r="Q11" s="51">
        <v>63.68</v>
      </c>
      <c r="R11" s="51" t="s">
        <v>153</v>
      </c>
      <c r="S11" s="51" t="s">
        <v>138</v>
      </c>
      <c r="T11" s="51" t="s">
        <v>138</v>
      </c>
      <c r="U11" s="51" t="s">
        <v>138</v>
      </c>
      <c r="V11" s="51" t="s">
        <v>138</v>
      </c>
      <c r="W11" s="51" t="s">
        <v>138</v>
      </c>
      <c r="X11" s="51" t="s">
        <v>138</v>
      </c>
      <c r="Y11" s="51" t="s">
        <v>138</v>
      </c>
      <c r="Z11" s="51" t="s">
        <v>138</v>
      </c>
      <c r="AA11" s="51" t="s">
        <v>138</v>
      </c>
      <c r="AB11" s="51" t="s">
        <v>138</v>
      </c>
      <c r="AC11" s="51" t="s">
        <v>138</v>
      </c>
      <c r="AD11" s="51" t="s">
        <v>138</v>
      </c>
      <c r="AE11" s="51" t="s">
        <v>138</v>
      </c>
      <c r="AF11" s="51" t="s">
        <v>138</v>
      </c>
      <c r="AG11" s="51" t="s">
        <v>138</v>
      </c>
      <c r="AH11" s="51" t="s">
        <v>138</v>
      </c>
      <c r="AI11" s="65" t="s">
        <v>138</v>
      </c>
    </row>
    <row r="12" spans="1:35" ht="38.25" customHeight="1" x14ac:dyDescent="0.25">
      <c r="A12" s="63" t="s">
        <v>164</v>
      </c>
      <c r="B12" s="63">
        <v>1</v>
      </c>
      <c r="C12" s="64" t="s">
        <v>149</v>
      </c>
      <c r="D12" s="51" t="s">
        <v>165</v>
      </c>
      <c r="E12" s="51">
        <v>1500</v>
      </c>
      <c r="F12" s="51">
        <v>1500</v>
      </c>
      <c r="G12" s="51">
        <v>0.34</v>
      </c>
      <c r="H12" s="51">
        <v>1500</v>
      </c>
      <c r="I12" s="51" t="s">
        <v>151</v>
      </c>
      <c r="J12" s="51">
        <v>51</v>
      </c>
      <c r="K12" s="51">
        <v>55</v>
      </c>
      <c r="L12" s="51" t="s">
        <v>152</v>
      </c>
      <c r="M12" s="51">
        <v>180</v>
      </c>
      <c r="N12" s="51">
        <v>5</v>
      </c>
      <c r="O12" s="51">
        <v>39.33</v>
      </c>
      <c r="P12" s="51">
        <v>1.25</v>
      </c>
      <c r="Q12" s="51">
        <v>98.35</v>
      </c>
      <c r="R12" s="51" t="s">
        <v>153</v>
      </c>
      <c r="S12" s="51" t="s">
        <v>138</v>
      </c>
      <c r="T12" s="51" t="s">
        <v>138</v>
      </c>
      <c r="U12" s="51" t="s">
        <v>138</v>
      </c>
      <c r="V12" s="51" t="s">
        <v>138</v>
      </c>
      <c r="W12" s="51" t="s">
        <v>138</v>
      </c>
      <c r="X12" s="51" t="s">
        <v>138</v>
      </c>
      <c r="Y12" s="51" t="s">
        <v>138</v>
      </c>
      <c r="Z12" s="51" t="s">
        <v>138</v>
      </c>
      <c r="AA12" s="51" t="s">
        <v>138</v>
      </c>
      <c r="AB12" s="51" t="s">
        <v>138</v>
      </c>
      <c r="AC12" s="51" t="s">
        <v>138</v>
      </c>
      <c r="AD12" s="51" t="s">
        <v>138</v>
      </c>
      <c r="AE12" s="51" t="s">
        <v>138</v>
      </c>
      <c r="AF12" s="51" t="s">
        <v>138</v>
      </c>
      <c r="AG12" s="51" t="s">
        <v>138</v>
      </c>
      <c r="AH12" s="51" t="s">
        <v>138</v>
      </c>
      <c r="AI12" s="65" t="s">
        <v>138</v>
      </c>
    </row>
    <row r="13" spans="1:35" ht="38.25" customHeight="1" x14ac:dyDescent="0.25">
      <c r="A13" s="63" t="s">
        <v>166</v>
      </c>
      <c r="B13" s="63">
        <v>1</v>
      </c>
      <c r="C13" s="64" t="s">
        <v>149</v>
      </c>
      <c r="D13" s="51" t="s">
        <v>167</v>
      </c>
      <c r="E13" s="51">
        <v>2000</v>
      </c>
      <c r="F13" s="51">
        <v>2000</v>
      </c>
      <c r="G13" s="51">
        <v>0.39</v>
      </c>
      <c r="H13" s="51">
        <v>2000</v>
      </c>
      <c r="I13" s="51" t="s">
        <v>151</v>
      </c>
      <c r="J13" s="51">
        <v>56</v>
      </c>
      <c r="K13" s="51">
        <v>55</v>
      </c>
      <c r="L13" s="51" t="s">
        <v>152</v>
      </c>
      <c r="M13" s="51">
        <v>180</v>
      </c>
      <c r="N13" s="51">
        <v>5</v>
      </c>
      <c r="O13" s="51">
        <v>48.06</v>
      </c>
      <c r="P13" s="51">
        <v>1.34</v>
      </c>
      <c r="Q13" s="51">
        <v>120.14</v>
      </c>
      <c r="R13" s="51" t="s">
        <v>153</v>
      </c>
      <c r="S13" s="51" t="s">
        <v>138</v>
      </c>
      <c r="T13" s="51" t="s">
        <v>138</v>
      </c>
      <c r="U13" s="51" t="s">
        <v>138</v>
      </c>
      <c r="V13" s="51" t="s">
        <v>138</v>
      </c>
      <c r="W13" s="51" t="s">
        <v>138</v>
      </c>
      <c r="X13" s="51" t="s">
        <v>138</v>
      </c>
      <c r="Y13" s="51" t="s">
        <v>138</v>
      </c>
      <c r="Z13" s="51" t="s">
        <v>138</v>
      </c>
      <c r="AA13" s="51" t="s">
        <v>138</v>
      </c>
      <c r="AB13" s="51" t="s">
        <v>138</v>
      </c>
      <c r="AC13" s="51" t="s">
        <v>138</v>
      </c>
      <c r="AD13" s="51" t="s">
        <v>138</v>
      </c>
      <c r="AE13" s="51" t="s">
        <v>138</v>
      </c>
      <c r="AF13" s="51" t="s">
        <v>138</v>
      </c>
      <c r="AG13" s="51" t="s">
        <v>138</v>
      </c>
      <c r="AH13" s="51" t="s">
        <v>138</v>
      </c>
      <c r="AI13" s="65" t="s">
        <v>138</v>
      </c>
    </row>
    <row r="14" spans="1:35" ht="38.25" customHeight="1" x14ac:dyDescent="0.25">
      <c r="A14" s="63" t="s">
        <v>168</v>
      </c>
      <c r="B14" s="63">
        <v>1</v>
      </c>
      <c r="C14" s="64" t="s">
        <v>149</v>
      </c>
      <c r="D14" s="51" t="s">
        <v>169</v>
      </c>
      <c r="E14" s="51">
        <v>4000</v>
      </c>
      <c r="F14" s="51">
        <v>4000</v>
      </c>
      <c r="G14" s="51">
        <v>0.96</v>
      </c>
      <c r="H14" s="51">
        <v>4000</v>
      </c>
      <c r="I14" s="51" t="s">
        <v>151</v>
      </c>
      <c r="J14" s="51">
        <v>76</v>
      </c>
      <c r="K14" s="51">
        <v>55</v>
      </c>
      <c r="L14" s="51" t="s">
        <v>152</v>
      </c>
      <c r="M14" s="51">
        <v>180</v>
      </c>
      <c r="N14" s="51">
        <v>5</v>
      </c>
      <c r="O14" s="51">
        <v>64.709999999999994</v>
      </c>
      <c r="P14" s="51">
        <v>1.44</v>
      </c>
      <c r="Q14" s="51">
        <v>161.65</v>
      </c>
      <c r="R14" s="51" t="s">
        <v>153</v>
      </c>
      <c r="S14" s="51" t="s">
        <v>138</v>
      </c>
      <c r="T14" s="51" t="s">
        <v>138</v>
      </c>
      <c r="U14" s="51" t="s">
        <v>138</v>
      </c>
      <c r="V14" s="51" t="s">
        <v>138</v>
      </c>
      <c r="W14" s="51" t="s">
        <v>138</v>
      </c>
      <c r="X14" s="51" t="s">
        <v>138</v>
      </c>
      <c r="Y14" s="51" t="s">
        <v>138</v>
      </c>
      <c r="Z14" s="51" t="s">
        <v>138</v>
      </c>
      <c r="AA14" s="51" t="s">
        <v>138</v>
      </c>
      <c r="AB14" s="51" t="s">
        <v>138</v>
      </c>
      <c r="AC14" s="51" t="s">
        <v>138</v>
      </c>
      <c r="AD14" s="51" t="s">
        <v>138</v>
      </c>
      <c r="AE14" s="51" t="s">
        <v>138</v>
      </c>
      <c r="AF14" s="51" t="s">
        <v>138</v>
      </c>
      <c r="AG14" s="51" t="s">
        <v>138</v>
      </c>
      <c r="AH14" s="51" t="s">
        <v>138</v>
      </c>
      <c r="AI14" s="65" t="s">
        <v>138</v>
      </c>
    </row>
    <row r="15" spans="1:35" ht="38.25" customHeight="1" x14ac:dyDescent="0.25">
      <c r="A15" s="63" t="s">
        <v>170</v>
      </c>
      <c r="B15" s="63">
        <v>1</v>
      </c>
      <c r="C15" s="64" t="s">
        <v>149</v>
      </c>
      <c r="D15" s="51" t="s">
        <v>150</v>
      </c>
      <c r="E15" s="51">
        <v>112</v>
      </c>
      <c r="F15" s="51">
        <v>112</v>
      </c>
      <c r="G15" s="51">
        <v>0.04</v>
      </c>
      <c r="H15" s="51">
        <v>112</v>
      </c>
      <c r="I15" s="51" t="s">
        <v>151</v>
      </c>
      <c r="J15" s="51">
        <v>22</v>
      </c>
      <c r="K15" s="51">
        <v>55</v>
      </c>
      <c r="L15" s="51" t="s">
        <v>152</v>
      </c>
      <c r="M15" s="51">
        <v>180</v>
      </c>
      <c r="N15" s="51">
        <v>2.5</v>
      </c>
      <c r="O15" s="51">
        <v>9.74</v>
      </c>
      <c r="P15" s="51">
        <v>4.21</v>
      </c>
      <c r="Q15" s="51">
        <v>12.2</v>
      </c>
      <c r="R15" s="51" t="s">
        <v>153</v>
      </c>
      <c r="S15" s="51" t="s">
        <v>138</v>
      </c>
      <c r="T15" s="51" t="s">
        <v>138</v>
      </c>
      <c r="U15" s="51" t="s">
        <v>138</v>
      </c>
      <c r="V15" s="51" t="s">
        <v>138</v>
      </c>
      <c r="W15" s="51" t="s">
        <v>138</v>
      </c>
      <c r="X15" s="51" t="s">
        <v>138</v>
      </c>
      <c r="Y15" s="51" t="s">
        <v>138</v>
      </c>
      <c r="Z15" s="51" t="s">
        <v>138</v>
      </c>
      <c r="AA15" s="51" t="s">
        <v>138</v>
      </c>
      <c r="AB15" s="51" t="s">
        <v>138</v>
      </c>
      <c r="AC15" s="51" t="s">
        <v>138</v>
      </c>
      <c r="AD15" s="51" t="s">
        <v>138</v>
      </c>
      <c r="AE15" s="51" t="s">
        <v>138</v>
      </c>
      <c r="AF15" s="51" t="s">
        <v>138</v>
      </c>
      <c r="AG15" s="51" t="s">
        <v>138</v>
      </c>
      <c r="AH15" s="51" t="s">
        <v>138</v>
      </c>
      <c r="AI15" s="65" t="s">
        <v>138</v>
      </c>
    </row>
    <row r="16" spans="1:35" ht="38.25" customHeight="1" x14ac:dyDescent="0.25">
      <c r="A16" s="63" t="s">
        <v>171</v>
      </c>
      <c r="B16" s="63">
        <v>1</v>
      </c>
      <c r="C16" s="64" t="s">
        <v>149</v>
      </c>
      <c r="D16" s="51" t="s">
        <v>155</v>
      </c>
      <c r="E16" s="51">
        <v>175</v>
      </c>
      <c r="F16" s="51">
        <v>175</v>
      </c>
      <c r="G16" s="51">
        <v>0.09</v>
      </c>
      <c r="H16" s="51">
        <v>175</v>
      </c>
      <c r="I16" s="51" t="s">
        <v>151</v>
      </c>
      <c r="J16" s="51">
        <v>22</v>
      </c>
      <c r="K16" s="51">
        <v>55</v>
      </c>
      <c r="L16" s="51" t="s">
        <v>152</v>
      </c>
      <c r="M16" s="51">
        <v>180</v>
      </c>
      <c r="N16" s="51">
        <v>2.5</v>
      </c>
      <c r="O16" s="51">
        <v>13.6</v>
      </c>
      <c r="P16" s="51">
        <v>4.22</v>
      </c>
      <c r="Q16" s="51">
        <v>17.03</v>
      </c>
      <c r="R16" s="51" t="s">
        <v>153</v>
      </c>
      <c r="S16" s="51" t="s">
        <v>138</v>
      </c>
      <c r="T16" s="51" t="s">
        <v>138</v>
      </c>
      <c r="U16" s="51" t="s">
        <v>138</v>
      </c>
      <c r="V16" s="51" t="s">
        <v>138</v>
      </c>
      <c r="W16" s="51" t="s">
        <v>138</v>
      </c>
      <c r="X16" s="51" t="s">
        <v>138</v>
      </c>
      <c r="Y16" s="51" t="s">
        <v>138</v>
      </c>
      <c r="Z16" s="51" t="s">
        <v>138</v>
      </c>
      <c r="AA16" s="51" t="s">
        <v>138</v>
      </c>
      <c r="AB16" s="51" t="s">
        <v>138</v>
      </c>
      <c r="AC16" s="51" t="s">
        <v>138</v>
      </c>
      <c r="AD16" s="51" t="s">
        <v>138</v>
      </c>
      <c r="AE16" s="51" t="s">
        <v>138</v>
      </c>
      <c r="AF16" s="51" t="s">
        <v>138</v>
      </c>
      <c r="AG16" s="51" t="s">
        <v>138</v>
      </c>
      <c r="AH16" s="51" t="s">
        <v>138</v>
      </c>
      <c r="AI16" s="65" t="s">
        <v>138</v>
      </c>
    </row>
    <row r="17" spans="1:35" ht="38.25" customHeight="1" x14ac:dyDescent="0.25">
      <c r="A17" s="63" t="s">
        <v>172</v>
      </c>
      <c r="B17" s="63">
        <v>1</v>
      </c>
      <c r="C17" s="64" t="s">
        <v>149</v>
      </c>
      <c r="D17" s="51" t="s">
        <v>157</v>
      </c>
      <c r="E17" s="51">
        <v>250</v>
      </c>
      <c r="F17" s="51">
        <v>250</v>
      </c>
      <c r="G17" s="51">
        <v>0.18</v>
      </c>
      <c r="H17" s="51">
        <v>250</v>
      </c>
      <c r="I17" s="51" t="s">
        <v>151</v>
      </c>
      <c r="J17" s="51">
        <v>22</v>
      </c>
      <c r="K17" s="51">
        <v>55</v>
      </c>
      <c r="L17" s="51" t="s">
        <v>152</v>
      </c>
      <c r="M17" s="51">
        <v>180</v>
      </c>
      <c r="N17" s="51">
        <v>2.5</v>
      </c>
      <c r="O17" s="51">
        <v>17.239999999999998</v>
      </c>
      <c r="P17" s="51">
        <v>4.2300000000000004</v>
      </c>
      <c r="Q17" s="51">
        <v>21.58</v>
      </c>
      <c r="R17" s="51" t="s">
        <v>153</v>
      </c>
      <c r="S17" s="51" t="s">
        <v>138</v>
      </c>
      <c r="T17" s="51" t="s">
        <v>138</v>
      </c>
      <c r="U17" s="51" t="s">
        <v>138</v>
      </c>
      <c r="V17" s="51" t="s">
        <v>138</v>
      </c>
      <c r="W17" s="51" t="s">
        <v>138</v>
      </c>
      <c r="X17" s="51" t="s">
        <v>138</v>
      </c>
      <c r="Y17" s="51" t="s">
        <v>138</v>
      </c>
      <c r="Z17" s="51" t="s">
        <v>138</v>
      </c>
      <c r="AA17" s="51" t="s">
        <v>138</v>
      </c>
      <c r="AB17" s="51" t="s">
        <v>138</v>
      </c>
      <c r="AC17" s="51" t="s">
        <v>138</v>
      </c>
      <c r="AD17" s="51" t="s">
        <v>138</v>
      </c>
      <c r="AE17" s="51" t="s">
        <v>138</v>
      </c>
      <c r="AF17" s="51" t="s">
        <v>138</v>
      </c>
      <c r="AG17" s="51" t="s">
        <v>138</v>
      </c>
      <c r="AH17" s="51" t="s">
        <v>138</v>
      </c>
      <c r="AI17" s="65" t="s">
        <v>138</v>
      </c>
    </row>
    <row r="18" spans="1:35" ht="38.25" customHeight="1" x14ac:dyDescent="0.25">
      <c r="A18" s="63" t="s">
        <v>173</v>
      </c>
      <c r="B18" s="63">
        <v>1</v>
      </c>
      <c r="C18" s="64" t="s">
        <v>149</v>
      </c>
      <c r="D18" s="51" t="s">
        <v>159</v>
      </c>
      <c r="E18" s="51">
        <v>450</v>
      </c>
      <c r="F18" s="51">
        <v>450</v>
      </c>
      <c r="G18" s="51">
        <v>0.28999999999999998</v>
      </c>
      <c r="H18" s="51">
        <v>450</v>
      </c>
      <c r="I18" s="51" t="s">
        <v>151</v>
      </c>
      <c r="J18" s="51">
        <v>24</v>
      </c>
      <c r="K18" s="51">
        <v>55</v>
      </c>
      <c r="L18" s="51" t="s">
        <v>152</v>
      </c>
      <c r="M18" s="51">
        <v>180</v>
      </c>
      <c r="N18" s="51">
        <v>12</v>
      </c>
      <c r="O18" s="51">
        <v>6.24</v>
      </c>
      <c r="P18" s="51">
        <v>9.4700000000000006</v>
      </c>
      <c r="Q18" s="51">
        <v>37.49</v>
      </c>
      <c r="R18" s="51" t="s">
        <v>153</v>
      </c>
      <c r="S18" s="51" t="s">
        <v>138</v>
      </c>
      <c r="T18" s="51" t="s">
        <v>138</v>
      </c>
      <c r="U18" s="51" t="s">
        <v>138</v>
      </c>
      <c r="V18" s="51" t="s">
        <v>138</v>
      </c>
      <c r="W18" s="51" t="s">
        <v>138</v>
      </c>
      <c r="X18" s="51" t="s">
        <v>138</v>
      </c>
      <c r="Y18" s="51" t="s">
        <v>138</v>
      </c>
      <c r="Z18" s="51" t="s">
        <v>138</v>
      </c>
      <c r="AA18" s="51" t="s">
        <v>138</v>
      </c>
      <c r="AB18" s="51" t="s">
        <v>138</v>
      </c>
      <c r="AC18" s="51" t="s">
        <v>138</v>
      </c>
      <c r="AD18" s="51" t="s">
        <v>138</v>
      </c>
      <c r="AE18" s="51" t="s">
        <v>138</v>
      </c>
      <c r="AF18" s="51" t="s">
        <v>138</v>
      </c>
      <c r="AG18" s="51" t="s">
        <v>138</v>
      </c>
      <c r="AH18" s="51" t="s">
        <v>138</v>
      </c>
      <c r="AI18" s="65" t="s">
        <v>138</v>
      </c>
    </row>
    <row r="19" spans="1:35" ht="38.25" customHeight="1" x14ac:dyDescent="0.25">
      <c r="A19" s="63" t="s">
        <v>174</v>
      </c>
      <c r="B19" s="63">
        <v>1</v>
      </c>
      <c r="C19" s="64" t="s">
        <v>149</v>
      </c>
      <c r="D19" s="51" t="s">
        <v>161</v>
      </c>
      <c r="E19" s="51">
        <v>700</v>
      </c>
      <c r="F19" s="51">
        <v>700</v>
      </c>
      <c r="G19" s="51">
        <v>0.3</v>
      </c>
      <c r="H19" s="51">
        <v>700</v>
      </c>
      <c r="I19" s="51" t="s">
        <v>151</v>
      </c>
      <c r="J19" s="51">
        <v>32</v>
      </c>
      <c r="K19" s="51">
        <v>55</v>
      </c>
      <c r="L19" s="51" t="s">
        <v>152</v>
      </c>
      <c r="M19" s="51">
        <v>180</v>
      </c>
      <c r="N19" s="51">
        <v>10</v>
      </c>
      <c r="O19" s="51">
        <v>11.44</v>
      </c>
      <c r="P19" s="51">
        <v>17.13</v>
      </c>
      <c r="Q19" s="51">
        <v>57.28</v>
      </c>
      <c r="R19" s="51" t="s">
        <v>153</v>
      </c>
      <c r="S19" s="51" t="s">
        <v>138</v>
      </c>
      <c r="T19" s="51" t="s">
        <v>138</v>
      </c>
      <c r="U19" s="51" t="s">
        <v>138</v>
      </c>
      <c r="V19" s="51" t="s">
        <v>138</v>
      </c>
      <c r="W19" s="51" t="s">
        <v>138</v>
      </c>
      <c r="X19" s="51" t="s">
        <v>138</v>
      </c>
      <c r="Y19" s="51" t="s">
        <v>138</v>
      </c>
      <c r="Z19" s="51" t="s">
        <v>138</v>
      </c>
      <c r="AA19" s="51" t="s">
        <v>138</v>
      </c>
      <c r="AB19" s="51" t="s">
        <v>138</v>
      </c>
      <c r="AC19" s="51" t="s">
        <v>138</v>
      </c>
      <c r="AD19" s="51" t="s">
        <v>138</v>
      </c>
      <c r="AE19" s="51" t="s">
        <v>138</v>
      </c>
      <c r="AF19" s="51" t="s">
        <v>138</v>
      </c>
      <c r="AG19" s="51" t="s">
        <v>138</v>
      </c>
      <c r="AH19" s="51" t="s">
        <v>138</v>
      </c>
      <c r="AI19" s="65" t="s">
        <v>138</v>
      </c>
    </row>
    <row r="20" spans="1:35" ht="38.25" customHeight="1" x14ac:dyDescent="0.25">
      <c r="A20" s="63" t="s">
        <v>175</v>
      </c>
      <c r="B20" s="63">
        <v>1</v>
      </c>
      <c r="C20" s="64" t="s">
        <v>149</v>
      </c>
      <c r="D20" s="51" t="s">
        <v>163</v>
      </c>
      <c r="E20" s="51">
        <v>1000</v>
      </c>
      <c r="F20" s="51">
        <v>1000</v>
      </c>
      <c r="G20" s="51">
        <v>0.32</v>
      </c>
      <c r="H20" s="51">
        <v>1000</v>
      </c>
      <c r="I20" s="51" t="s">
        <v>151</v>
      </c>
      <c r="J20" s="51">
        <v>41</v>
      </c>
      <c r="K20" s="51">
        <v>55</v>
      </c>
      <c r="L20" s="51" t="s">
        <v>152</v>
      </c>
      <c r="M20" s="51">
        <v>180</v>
      </c>
      <c r="N20" s="51">
        <v>14</v>
      </c>
      <c r="O20" s="51">
        <v>11.12</v>
      </c>
      <c r="P20" s="51">
        <v>11.07</v>
      </c>
      <c r="Q20" s="51">
        <v>78.010000000000005</v>
      </c>
      <c r="R20" s="51" t="s">
        <v>153</v>
      </c>
      <c r="S20" s="51" t="s">
        <v>138</v>
      </c>
      <c r="T20" s="51" t="s">
        <v>138</v>
      </c>
      <c r="U20" s="51" t="s">
        <v>138</v>
      </c>
      <c r="V20" s="51" t="s">
        <v>138</v>
      </c>
      <c r="W20" s="51" t="s">
        <v>138</v>
      </c>
      <c r="X20" s="51" t="s">
        <v>138</v>
      </c>
      <c r="Y20" s="51" t="s">
        <v>138</v>
      </c>
      <c r="Z20" s="51" t="s">
        <v>138</v>
      </c>
      <c r="AA20" s="51" t="s">
        <v>138</v>
      </c>
      <c r="AB20" s="51" t="s">
        <v>138</v>
      </c>
      <c r="AC20" s="51" t="s">
        <v>138</v>
      </c>
      <c r="AD20" s="51" t="s">
        <v>138</v>
      </c>
      <c r="AE20" s="51" t="s">
        <v>138</v>
      </c>
      <c r="AF20" s="51" t="s">
        <v>138</v>
      </c>
      <c r="AG20" s="51" t="s">
        <v>138</v>
      </c>
      <c r="AH20" s="51" t="s">
        <v>138</v>
      </c>
      <c r="AI20" s="65" t="s">
        <v>138</v>
      </c>
    </row>
    <row r="21" spans="1:35" ht="38.25" customHeight="1" x14ac:dyDescent="0.25">
      <c r="A21" s="63" t="s">
        <v>176</v>
      </c>
      <c r="B21" s="63">
        <v>1</v>
      </c>
      <c r="C21" s="64" t="s">
        <v>149</v>
      </c>
      <c r="D21" s="51" t="s">
        <v>165</v>
      </c>
      <c r="E21" s="51">
        <v>1500</v>
      </c>
      <c r="F21" s="51">
        <v>1500</v>
      </c>
      <c r="G21" s="51">
        <v>0.34</v>
      </c>
      <c r="H21" s="51">
        <v>1500</v>
      </c>
      <c r="I21" s="51" t="s">
        <v>151</v>
      </c>
      <c r="J21" s="51">
        <v>51</v>
      </c>
      <c r="K21" s="51">
        <v>55</v>
      </c>
      <c r="L21" s="51" t="s">
        <v>152</v>
      </c>
      <c r="M21" s="51">
        <v>180</v>
      </c>
      <c r="N21" s="51">
        <v>15</v>
      </c>
      <c r="O21" s="51">
        <v>15.65</v>
      </c>
      <c r="P21" s="51">
        <v>9.85</v>
      </c>
      <c r="Q21" s="51">
        <v>117.58</v>
      </c>
      <c r="R21" s="51" t="s">
        <v>153</v>
      </c>
      <c r="S21" s="51" t="s">
        <v>138</v>
      </c>
      <c r="T21" s="51" t="s">
        <v>138</v>
      </c>
      <c r="U21" s="51" t="s">
        <v>138</v>
      </c>
      <c r="V21" s="51" t="s">
        <v>138</v>
      </c>
      <c r="W21" s="51" t="s">
        <v>138</v>
      </c>
      <c r="X21" s="51" t="s">
        <v>138</v>
      </c>
      <c r="Y21" s="51" t="s">
        <v>138</v>
      </c>
      <c r="Z21" s="51" t="s">
        <v>138</v>
      </c>
      <c r="AA21" s="51" t="s">
        <v>138</v>
      </c>
      <c r="AB21" s="51" t="s">
        <v>138</v>
      </c>
      <c r="AC21" s="51" t="s">
        <v>138</v>
      </c>
      <c r="AD21" s="51" t="s">
        <v>138</v>
      </c>
      <c r="AE21" s="51" t="s">
        <v>138</v>
      </c>
      <c r="AF21" s="51" t="s">
        <v>138</v>
      </c>
      <c r="AG21" s="51" t="s">
        <v>138</v>
      </c>
      <c r="AH21" s="51" t="s">
        <v>138</v>
      </c>
      <c r="AI21" s="65" t="s">
        <v>138</v>
      </c>
    </row>
    <row r="22" spans="1:35" ht="38.25" customHeight="1" x14ac:dyDescent="0.25">
      <c r="A22" s="63" t="s">
        <v>177</v>
      </c>
      <c r="B22" s="63">
        <v>1</v>
      </c>
      <c r="C22" s="64" t="s">
        <v>149</v>
      </c>
      <c r="D22" s="51" t="s">
        <v>167</v>
      </c>
      <c r="E22" s="51">
        <v>2000</v>
      </c>
      <c r="F22" s="51">
        <v>2000</v>
      </c>
      <c r="G22" s="51">
        <v>0.39</v>
      </c>
      <c r="H22" s="51">
        <v>2000</v>
      </c>
      <c r="I22" s="51" t="s">
        <v>151</v>
      </c>
      <c r="J22" s="51">
        <v>56</v>
      </c>
      <c r="K22" s="51">
        <v>55</v>
      </c>
      <c r="L22" s="51" t="s">
        <v>152</v>
      </c>
      <c r="M22" s="51">
        <v>180</v>
      </c>
      <c r="N22" s="51">
        <v>17</v>
      </c>
      <c r="O22" s="51">
        <v>17.71</v>
      </c>
      <c r="P22" s="51">
        <v>13.24</v>
      </c>
      <c r="Q22" s="51">
        <v>150.76</v>
      </c>
      <c r="R22" s="51" t="s">
        <v>153</v>
      </c>
      <c r="S22" s="51" t="s">
        <v>138</v>
      </c>
      <c r="T22" s="51" t="s">
        <v>138</v>
      </c>
      <c r="U22" s="51" t="s">
        <v>138</v>
      </c>
      <c r="V22" s="51" t="s">
        <v>138</v>
      </c>
      <c r="W22" s="51" t="s">
        <v>138</v>
      </c>
      <c r="X22" s="51" t="s">
        <v>138</v>
      </c>
      <c r="Y22" s="51" t="s">
        <v>138</v>
      </c>
      <c r="Z22" s="51" t="s">
        <v>138</v>
      </c>
      <c r="AA22" s="51" t="s">
        <v>138</v>
      </c>
      <c r="AB22" s="51" t="s">
        <v>138</v>
      </c>
      <c r="AC22" s="51" t="s">
        <v>138</v>
      </c>
      <c r="AD22" s="51" t="s">
        <v>138</v>
      </c>
      <c r="AE22" s="51" t="s">
        <v>138</v>
      </c>
      <c r="AF22" s="51" t="s">
        <v>138</v>
      </c>
      <c r="AG22" s="51" t="s">
        <v>138</v>
      </c>
      <c r="AH22" s="51" t="s">
        <v>138</v>
      </c>
      <c r="AI22" s="65" t="s">
        <v>138</v>
      </c>
    </row>
    <row r="23" spans="1:35" ht="38.25" customHeight="1" x14ac:dyDescent="0.25">
      <c r="A23" s="63" t="s">
        <v>178</v>
      </c>
      <c r="B23" s="63">
        <v>1</v>
      </c>
      <c r="C23" s="64" t="s">
        <v>149</v>
      </c>
      <c r="D23" s="51" t="s">
        <v>169</v>
      </c>
      <c r="E23" s="51">
        <v>4000</v>
      </c>
      <c r="F23" s="51">
        <v>4000</v>
      </c>
      <c r="G23" s="51">
        <v>0.96</v>
      </c>
      <c r="H23" s="51">
        <v>4000</v>
      </c>
      <c r="I23" s="51" t="s">
        <v>151</v>
      </c>
      <c r="J23" s="51">
        <v>76</v>
      </c>
      <c r="K23" s="51">
        <v>55</v>
      </c>
      <c r="L23" s="51" t="s">
        <v>152</v>
      </c>
      <c r="M23" s="51">
        <v>180</v>
      </c>
      <c r="N23" s="51">
        <v>17</v>
      </c>
      <c r="O23" s="51">
        <v>26.71</v>
      </c>
      <c r="P23" s="51">
        <v>14</v>
      </c>
      <c r="Q23" s="51">
        <v>227.24</v>
      </c>
      <c r="R23" s="51" t="s">
        <v>153</v>
      </c>
      <c r="S23" s="51" t="s">
        <v>138</v>
      </c>
      <c r="T23" s="51" t="s">
        <v>138</v>
      </c>
      <c r="U23" s="51" t="s">
        <v>138</v>
      </c>
      <c r="V23" s="51" t="s">
        <v>138</v>
      </c>
      <c r="W23" s="51" t="s">
        <v>138</v>
      </c>
      <c r="X23" s="51" t="s">
        <v>138</v>
      </c>
      <c r="Y23" s="51" t="s">
        <v>138</v>
      </c>
      <c r="Z23" s="51" t="s">
        <v>138</v>
      </c>
      <c r="AA23" s="51" t="s">
        <v>138</v>
      </c>
      <c r="AB23" s="51" t="s">
        <v>138</v>
      </c>
      <c r="AC23" s="51" t="s">
        <v>138</v>
      </c>
      <c r="AD23" s="51" t="s">
        <v>138</v>
      </c>
      <c r="AE23" s="51" t="s">
        <v>138</v>
      </c>
      <c r="AF23" s="51" t="s">
        <v>138</v>
      </c>
      <c r="AG23" s="51" t="s">
        <v>138</v>
      </c>
      <c r="AH23" s="51" t="s">
        <v>138</v>
      </c>
      <c r="AI23" s="65" t="s">
        <v>138</v>
      </c>
    </row>
    <row r="24" spans="1:35" ht="38.25" customHeight="1" x14ac:dyDescent="0.25">
      <c r="A24" s="63" t="s">
        <v>179</v>
      </c>
      <c r="B24" s="63">
        <v>1</v>
      </c>
      <c r="C24" s="64" t="s">
        <v>149</v>
      </c>
      <c r="D24" s="51" t="s">
        <v>150</v>
      </c>
      <c r="E24" s="51">
        <v>112</v>
      </c>
      <c r="F24" s="51">
        <v>112</v>
      </c>
      <c r="G24" s="51">
        <v>0.05</v>
      </c>
      <c r="H24" s="51">
        <v>112</v>
      </c>
      <c r="I24" s="51" t="s">
        <v>151</v>
      </c>
      <c r="J24" s="51">
        <v>24</v>
      </c>
      <c r="K24" s="51">
        <v>55</v>
      </c>
      <c r="L24" s="51" t="s">
        <v>152</v>
      </c>
      <c r="M24" s="51">
        <v>180</v>
      </c>
      <c r="N24" s="51">
        <v>0.5</v>
      </c>
      <c r="O24" s="51">
        <v>45.93</v>
      </c>
      <c r="P24" s="51">
        <v>0.33</v>
      </c>
      <c r="Q24" s="51">
        <v>11.48</v>
      </c>
      <c r="R24" s="51" t="s">
        <v>180</v>
      </c>
      <c r="S24" s="51" t="s">
        <v>138</v>
      </c>
      <c r="T24" s="51" t="s">
        <v>138</v>
      </c>
      <c r="U24" s="51" t="s">
        <v>138</v>
      </c>
      <c r="V24" s="51" t="s">
        <v>138</v>
      </c>
      <c r="W24" s="51" t="s">
        <v>138</v>
      </c>
      <c r="X24" s="51" t="s">
        <v>138</v>
      </c>
      <c r="Y24" s="51" t="s">
        <v>138</v>
      </c>
      <c r="Z24" s="51" t="s">
        <v>138</v>
      </c>
      <c r="AA24" s="51" t="s">
        <v>138</v>
      </c>
      <c r="AB24" s="51" t="s">
        <v>138</v>
      </c>
      <c r="AC24" s="51" t="s">
        <v>138</v>
      </c>
      <c r="AD24" s="51" t="s">
        <v>138</v>
      </c>
      <c r="AE24" s="51" t="s">
        <v>138</v>
      </c>
      <c r="AF24" s="51" t="s">
        <v>138</v>
      </c>
      <c r="AG24" s="51" t="s">
        <v>138</v>
      </c>
      <c r="AH24" s="51" t="s">
        <v>138</v>
      </c>
      <c r="AI24" s="65" t="s">
        <v>138</v>
      </c>
    </row>
    <row r="25" spans="1:35" ht="38.25" customHeight="1" x14ac:dyDescent="0.25">
      <c r="A25" s="63" t="s">
        <v>181</v>
      </c>
      <c r="B25" s="63">
        <v>1</v>
      </c>
      <c r="C25" s="64" t="s">
        <v>149</v>
      </c>
      <c r="D25" s="51" t="s">
        <v>155</v>
      </c>
      <c r="E25" s="51">
        <v>175</v>
      </c>
      <c r="F25" s="51">
        <v>175</v>
      </c>
      <c r="G25" s="51">
        <v>0.13</v>
      </c>
      <c r="H25" s="51">
        <v>175</v>
      </c>
      <c r="I25" s="51" t="s">
        <v>151</v>
      </c>
      <c r="J25" s="51">
        <v>24</v>
      </c>
      <c r="K25" s="51">
        <v>55</v>
      </c>
      <c r="L25" s="51" t="s">
        <v>152</v>
      </c>
      <c r="M25" s="51">
        <v>180</v>
      </c>
      <c r="N25" s="51">
        <v>0.5</v>
      </c>
      <c r="O25" s="51">
        <v>59.13</v>
      </c>
      <c r="P25" s="51">
        <v>0.33</v>
      </c>
      <c r="Q25" s="51">
        <v>14.78</v>
      </c>
      <c r="R25" s="51" t="s">
        <v>180</v>
      </c>
      <c r="S25" s="51" t="s">
        <v>138</v>
      </c>
      <c r="T25" s="51" t="s">
        <v>138</v>
      </c>
      <c r="U25" s="51" t="s">
        <v>138</v>
      </c>
      <c r="V25" s="51" t="s">
        <v>138</v>
      </c>
      <c r="W25" s="51" t="s">
        <v>138</v>
      </c>
      <c r="X25" s="51" t="s">
        <v>138</v>
      </c>
      <c r="Y25" s="51" t="s">
        <v>138</v>
      </c>
      <c r="Z25" s="51" t="s">
        <v>138</v>
      </c>
      <c r="AA25" s="51" t="s">
        <v>138</v>
      </c>
      <c r="AB25" s="51" t="s">
        <v>138</v>
      </c>
      <c r="AC25" s="51" t="s">
        <v>138</v>
      </c>
      <c r="AD25" s="51" t="s">
        <v>138</v>
      </c>
      <c r="AE25" s="51" t="s">
        <v>138</v>
      </c>
      <c r="AF25" s="51" t="s">
        <v>138</v>
      </c>
      <c r="AG25" s="51" t="s">
        <v>138</v>
      </c>
      <c r="AH25" s="51" t="s">
        <v>138</v>
      </c>
      <c r="AI25" s="65" t="s">
        <v>138</v>
      </c>
    </row>
    <row r="26" spans="1:35" ht="38.25" customHeight="1" x14ac:dyDescent="0.25">
      <c r="A26" s="63" t="s">
        <v>182</v>
      </c>
      <c r="B26" s="63">
        <v>1</v>
      </c>
      <c r="C26" s="64" t="s">
        <v>149</v>
      </c>
      <c r="D26" s="51" t="s">
        <v>157</v>
      </c>
      <c r="E26" s="51">
        <v>250</v>
      </c>
      <c r="F26" s="51">
        <v>250</v>
      </c>
      <c r="G26" s="51">
        <v>0.24</v>
      </c>
      <c r="H26" s="51">
        <v>250</v>
      </c>
      <c r="I26" s="51" t="s">
        <v>151</v>
      </c>
      <c r="J26" s="51">
        <v>24</v>
      </c>
      <c r="K26" s="51">
        <v>55</v>
      </c>
      <c r="L26" s="51" t="s">
        <v>152</v>
      </c>
      <c r="M26" s="51">
        <v>180</v>
      </c>
      <c r="N26" s="51">
        <v>1</v>
      </c>
      <c r="O26" s="51">
        <v>43.44</v>
      </c>
      <c r="P26" s="51">
        <v>1.1000000000000001</v>
      </c>
      <c r="Q26" s="51">
        <v>21.72</v>
      </c>
      <c r="R26" s="51" t="s">
        <v>180</v>
      </c>
      <c r="S26" s="51" t="s">
        <v>138</v>
      </c>
      <c r="T26" s="51" t="s">
        <v>138</v>
      </c>
      <c r="U26" s="51" t="s">
        <v>138</v>
      </c>
      <c r="V26" s="51" t="s">
        <v>138</v>
      </c>
      <c r="W26" s="51" t="s">
        <v>138</v>
      </c>
      <c r="X26" s="51" t="s">
        <v>138</v>
      </c>
      <c r="Y26" s="51" t="s">
        <v>138</v>
      </c>
      <c r="Z26" s="51" t="s">
        <v>138</v>
      </c>
      <c r="AA26" s="51" t="s">
        <v>138</v>
      </c>
      <c r="AB26" s="51" t="s">
        <v>138</v>
      </c>
      <c r="AC26" s="51" t="s">
        <v>138</v>
      </c>
      <c r="AD26" s="51" t="s">
        <v>138</v>
      </c>
      <c r="AE26" s="51" t="s">
        <v>138</v>
      </c>
      <c r="AF26" s="51" t="s">
        <v>138</v>
      </c>
      <c r="AG26" s="51" t="s">
        <v>138</v>
      </c>
      <c r="AH26" s="51" t="s">
        <v>138</v>
      </c>
      <c r="AI26" s="65" t="s">
        <v>138</v>
      </c>
    </row>
    <row r="27" spans="1:35" ht="38.25" customHeight="1" x14ac:dyDescent="0.25">
      <c r="A27" s="63" t="s">
        <v>183</v>
      </c>
      <c r="B27" s="63">
        <v>1</v>
      </c>
      <c r="C27" s="64" t="s">
        <v>149</v>
      </c>
      <c r="D27" s="51" t="s">
        <v>159</v>
      </c>
      <c r="E27" s="51">
        <v>450</v>
      </c>
      <c r="F27" s="51">
        <v>450</v>
      </c>
      <c r="G27" s="51">
        <v>0.38</v>
      </c>
      <c r="H27" s="51">
        <v>450</v>
      </c>
      <c r="I27" s="51" t="s">
        <v>151</v>
      </c>
      <c r="J27" s="51">
        <v>26</v>
      </c>
      <c r="K27" s="51">
        <v>55</v>
      </c>
      <c r="L27" s="51" t="s">
        <v>152</v>
      </c>
      <c r="M27" s="51">
        <v>180</v>
      </c>
      <c r="N27" s="51">
        <v>2.5</v>
      </c>
      <c r="O27" s="51">
        <v>29.78</v>
      </c>
      <c r="P27" s="51">
        <v>0.67</v>
      </c>
      <c r="Q27" s="51">
        <v>37.25</v>
      </c>
      <c r="R27" s="51" t="s">
        <v>180</v>
      </c>
      <c r="S27" s="51" t="s">
        <v>138</v>
      </c>
      <c r="T27" s="51" t="s">
        <v>138</v>
      </c>
      <c r="U27" s="51" t="s">
        <v>138</v>
      </c>
      <c r="V27" s="51" t="s">
        <v>138</v>
      </c>
      <c r="W27" s="51" t="s">
        <v>138</v>
      </c>
      <c r="X27" s="51" t="s">
        <v>138</v>
      </c>
      <c r="Y27" s="51" t="s">
        <v>138</v>
      </c>
      <c r="Z27" s="51" t="s">
        <v>138</v>
      </c>
      <c r="AA27" s="51" t="s">
        <v>138</v>
      </c>
      <c r="AB27" s="51" t="s">
        <v>138</v>
      </c>
      <c r="AC27" s="51" t="s">
        <v>138</v>
      </c>
      <c r="AD27" s="51" t="s">
        <v>138</v>
      </c>
      <c r="AE27" s="51" t="s">
        <v>138</v>
      </c>
      <c r="AF27" s="51" t="s">
        <v>138</v>
      </c>
      <c r="AG27" s="51" t="s">
        <v>138</v>
      </c>
      <c r="AH27" s="51" t="s">
        <v>138</v>
      </c>
      <c r="AI27" s="65" t="s">
        <v>138</v>
      </c>
    </row>
    <row r="28" spans="1:35" ht="38.25" customHeight="1" x14ac:dyDescent="0.25">
      <c r="A28" s="63" t="s">
        <v>184</v>
      </c>
      <c r="B28" s="63">
        <v>1</v>
      </c>
      <c r="C28" s="64" t="s">
        <v>149</v>
      </c>
      <c r="D28" s="51" t="s">
        <v>161</v>
      </c>
      <c r="E28" s="51">
        <v>700</v>
      </c>
      <c r="F28" s="51">
        <v>700</v>
      </c>
      <c r="G28" s="51">
        <v>0.4</v>
      </c>
      <c r="H28" s="51">
        <v>700</v>
      </c>
      <c r="I28" s="51" t="s">
        <v>151</v>
      </c>
      <c r="J28" s="51">
        <v>36</v>
      </c>
      <c r="K28" s="51">
        <v>55</v>
      </c>
      <c r="L28" s="51" t="s">
        <v>152</v>
      </c>
      <c r="M28" s="51">
        <v>180</v>
      </c>
      <c r="N28" s="51">
        <v>2.5</v>
      </c>
      <c r="O28" s="51">
        <v>44.55</v>
      </c>
      <c r="P28" s="51">
        <v>1.78</v>
      </c>
      <c r="Q28" s="51">
        <v>55.7</v>
      </c>
      <c r="R28" s="51" t="s">
        <v>180</v>
      </c>
      <c r="S28" s="51" t="s">
        <v>138</v>
      </c>
      <c r="T28" s="51" t="s">
        <v>138</v>
      </c>
      <c r="U28" s="51" t="s">
        <v>138</v>
      </c>
      <c r="V28" s="51" t="s">
        <v>138</v>
      </c>
      <c r="W28" s="51" t="s">
        <v>138</v>
      </c>
      <c r="X28" s="51" t="s">
        <v>138</v>
      </c>
      <c r="Y28" s="51" t="s">
        <v>138</v>
      </c>
      <c r="Z28" s="51" t="s">
        <v>138</v>
      </c>
      <c r="AA28" s="51" t="s">
        <v>138</v>
      </c>
      <c r="AB28" s="51" t="s">
        <v>138</v>
      </c>
      <c r="AC28" s="51" t="s">
        <v>138</v>
      </c>
      <c r="AD28" s="51" t="s">
        <v>138</v>
      </c>
      <c r="AE28" s="51" t="s">
        <v>138</v>
      </c>
      <c r="AF28" s="51" t="s">
        <v>138</v>
      </c>
      <c r="AG28" s="51" t="s">
        <v>138</v>
      </c>
      <c r="AH28" s="51" t="s">
        <v>138</v>
      </c>
      <c r="AI28" s="65" t="s">
        <v>138</v>
      </c>
    </row>
    <row r="29" spans="1:35" ht="38.25" customHeight="1" x14ac:dyDescent="0.25">
      <c r="A29" s="63" t="s">
        <v>185</v>
      </c>
      <c r="B29" s="63">
        <v>1</v>
      </c>
      <c r="C29" s="64" t="s">
        <v>149</v>
      </c>
      <c r="D29" s="51" t="s">
        <v>163</v>
      </c>
      <c r="E29" s="51">
        <v>1000</v>
      </c>
      <c r="F29" s="51">
        <v>1000</v>
      </c>
      <c r="G29" s="51">
        <v>0.41</v>
      </c>
      <c r="H29" s="51">
        <v>1000</v>
      </c>
      <c r="I29" s="51" t="s">
        <v>151</v>
      </c>
      <c r="J29" s="51">
        <v>45</v>
      </c>
      <c r="K29" s="51">
        <v>55</v>
      </c>
      <c r="L29" s="51" t="s">
        <v>152</v>
      </c>
      <c r="M29" s="51">
        <v>180</v>
      </c>
      <c r="N29" s="51">
        <v>3.5</v>
      </c>
      <c r="O29" s="51">
        <v>44.45</v>
      </c>
      <c r="P29" s="51">
        <v>1.01</v>
      </c>
      <c r="Q29" s="51">
        <v>77.8</v>
      </c>
      <c r="R29" s="51" t="s">
        <v>180</v>
      </c>
      <c r="S29" s="51" t="s">
        <v>138</v>
      </c>
      <c r="T29" s="51" t="s">
        <v>138</v>
      </c>
      <c r="U29" s="51" t="s">
        <v>138</v>
      </c>
      <c r="V29" s="51" t="s">
        <v>138</v>
      </c>
      <c r="W29" s="51" t="s">
        <v>138</v>
      </c>
      <c r="X29" s="51" t="s">
        <v>138</v>
      </c>
      <c r="Y29" s="51" t="s">
        <v>138</v>
      </c>
      <c r="Z29" s="51" t="s">
        <v>138</v>
      </c>
      <c r="AA29" s="51" t="s">
        <v>138</v>
      </c>
      <c r="AB29" s="51" t="s">
        <v>138</v>
      </c>
      <c r="AC29" s="51" t="s">
        <v>138</v>
      </c>
      <c r="AD29" s="51" t="s">
        <v>138</v>
      </c>
      <c r="AE29" s="51" t="s">
        <v>138</v>
      </c>
      <c r="AF29" s="51" t="s">
        <v>138</v>
      </c>
      <c r="AG29" s="51" t="s">
        <v>138</v>
      </c>
      <c r="AH29" s="51" t="s">
        <v>138</v>
      </c>
      <c r="AI29" s="65" t="s">
        <v>138</v>
      </c>
    </row>
    <row r="30" spans="1:35" ht="38.25" customHeight="1" x14ac:dyDescent="0.25">
      <c r="A30" s="63" t="s">
        <v>186</v>
      </c>
      <c r="B30" s="63">
        <v>1</v>
      </c>
      <c r="C30" s="64" t="s">
        <v>149</v>
      </c>
      <c r="D30" s="51" t="s">
        <v>165</v>
      </c>
      <c r="E30" s="51">
        <v>1500</v>
      </c>
      <c r="F30" s="51">
        <v>1500</v>
      </c>
      <c r="G30" s="51">
        <v>0.43</v>
      </c>
      <c r="H30" s="51">
        <v>1500</v>
      </c>
      <c r="I30" s="51" t="s">
        <v>151</v>
      </c>
      <c r="J30" s="51">
        <v>55</v>
      </c>
      <c r="K30" s="51">
        <v>55</v>
      </c>
      <c r="L30" s="51" t="s">
        <v>152</v>
      </c>
      <c r="M30" s="51">
        <v>180</v>
      </c>
      <c r="N30" s="51">
        <v>5</v>
      </c>
      <c r="O30" s="51">
        <v>46.1</v>
      </c>
      <c r="P30" s="51">
        <v>1.47</v>
      </c>
      <c r="Q30" s="51">
        <v>115.26</v>
      </c>
      <c r="R30" s="51" t="s">
        <v>180</v>
      </c>
      <c r="S30" s="51" t="s">
        <v>138</v>
      </c>
      <c r="T30" s="51" t="s">
        <v>138</v>
      </c>
      <c r="U30" s="51" t="s">
        <v>138</v>
      </c>
      <c r="V30" s="51" t="s">
        <v>138</v>
      </c>
      <c r="W30" s="51" t="s">
        <v>138</v>
      </c>
      <c r="X30" s="51" t="s">
        <v>138</v>
      </c>
      <c r="Y30" s="51" t="s">
        <v>138</v>
      </c>
      <c r="Z30" s="51" t="s">
        <v>138</v>
      </c>
      <c r="AA30" s="51" t="s">
        <v>138</v>
      </c>
      <c r="AB30" s="51" t="s">
        <v>138</v>
      </c>
      <c r="AC30" s="51" t="s">
        <v>138</v>
      </c>
      <c r="AD30" s="51" t="s">
        <v>138</v>
      </c>
      <c r="AE30" s="51" t="s">
        <v>138</v>
      </c>
      <c r="AF30" s="51" t="s">
        <v>138</v>
      </c>
      <c r="AG30" s="51" t="s">
        <v>138</v>
      </c>
      <c r="AH30" s="51" t="s">
        <v>138</v>
      </c>
      <c r="AI30" s="65" t="s">
        <v>138</v>
      </c>
    </row>
    <row r="31" spans="1:35" ht="38.25" customHeight="1" x14ac:dyDescent="0.25">
      <c r="A31" s="63" t="s">
        <v>187</v>
      </c>
      <c r="B31" s="63">
        <v>1</v>
      </c>
      <c r="C31" s="64" t="s">
        <v>149</v>
      </c>
      <c r="D31" s="51" t="s">
        <v>167</v>
      </c>
      <c r="E31" s="51">
        <v>2000</v>
      </c>
      <c r="F31" s="51">
        <v>2000</v>
      </c>
      <c r="G31" s="51">
        <v>0.52</v>
      </c>
      <c r="H31" s="51">
        <v>2000</v>
      </c>
      <c r="I31" s="51" t="s">
        <v>151</v>
      </c>
      <c r="J31" s="51">
        <v>61</v>
      </c>
      <c r="K31" s="51">
        <v>55</v>
      </c>
      <c r="L31" s="51" t="s">
        <v>152</v>
      </c>
      <c r="M31" s="51">
        <v>180</v>
      </c>
      <c r="N31" s="51">
        <v>5</v>
      </c>
      <c r="O31" s="51">
        <v>56.2</v>
      </c>
      <c r="P31" s="51">
        <v>1.59</v>
      </c>
      <c r="Q31" s="51">
        <v>140.46</v>
      </c>
      <c r="R31" s="51" t="s">
        <v>180</v>
      </c>
      <c r="S31" s="51" t="s">
        <v>138</v>
      </c>
      <c r="T31" s="51" t="s">
        <v>138</v>
      </c>
      <c r="U31" s="51" t="s">
        <v>138</v>
      </c>
      <c r="V31" s="51" t="s">
        <v>138</v>
      </c>
      <c r="W31" s="51" t="s">
        <v>138</v>
      </c>
      <c r="X31" s="51" t="s">
        <v>138</v>
      </c>
      <c r="Y31" s="51" t="s">
        <v>138</v>
      </c>
      <c r="Z31" s="51" t="s">
        <v>138</v>
      </c>
      <c r="AA31" s="51" t="s">
        <v>138</v>
      </c>
      <c r="AB31" s="51" t="s">
        <v>138</v>
      </c>
      <c r="AC31" s="51" t="s">
        <v>138</v>
      </c>
      <c r="AD31" s="51" t="s">
        <v>138</v>
      </c>
      <c r="AE31" s="51" t="s">
        <v>138</v>
      </c>
      <c r="AF31" s="51" t="s">
        <v>138</v>
      </c>
      <c r="AG31" s="51" t="s">
        <v>138</v>
      </c>
      <c r="AH31" s="51" t="s">
        <v>138</v>
      </c>
      <c r="AI31" s="65" t="s">
        <v>138</v>
      </c>
    </row>
    <row r="32" spans="1:35" ht="38.25" customHeight="1" x14ac:dyDescent="0.25">
      <c r="A32" s="63" t="s">
        <v>188</v>
      </c>
      <c r="B32" s="63">
        <v>1</v>
      </c>
      <c r="C32" s="64" t="s">
        <v>149</v>
      </c>
      <c r="D32" s="51" t="s">
        <v>169</v>
      </c>
      <c r="E32" s="51">
        <v>4000</v>
      </c>
      <c r="F32" s="51">
        <v>4000</v>
      </c>
      <c r="G32" s="51">
        <v>1.27</v>
      </c>
      <c r="H32" s="51">
        <v>4000</v>
      </c>
      <c r="I32" s="51" t="s">
        <v>151</v>
      </c>
      <c r="J32" s="51">
        <v>82</v>
      </c>
      <c r="K32" s="51">
        <v>55</v>
      </c>
      <c r="L32" s="51" t="s">
        <v>152</v>
      </c>
      <c r="M32" s="51">
        <v>180</v>
      </c>
      <c r="N32" s="51">
        <v>5</v>
      </c>
      <c r="O32" s="51">
        <v>75.39</v>
      </c>
      <c r="P32" s="51">
        <v>1.73</v>
      </c>
      <c r="Q32" s="51">
        <v>188.26</v>
      </c>
      <c r="R32" s="51" t="s">
        <v>180</v>
      </c>
      <c r="S32" s="51" t="s">
        <v>138</v>
      </c>
      <c r="T32" s="51" t="s">
        <v>138</v>
      </c>
      <c r="U32" s="51" t="s">
        <v>138</v>
      </c>
      <c r="V32" s="51" t="s">
        <v>138</v>
      </c>
      <c r="W32" s="51" t="s">
        <v>138</v>
      </c>
      <c r="X32" s="51" t="s">
        <v>138</v>
      </c>
      <c r="Y32" s="51" t="s">
        <v>138</v>
      </c>
      <c r="Z32" s="51" t="s">
        <v>138</v>
      </c>
      <c r="AA32" s="51" t="s">
        <v>138</v>
      </c>
      <c r="AB32" s="51" t="s">
        <v>138</v>
      </c>
      <c r="AC32" s="51" t="s">
        <v>138</v>
      </c>
      <c r="AD32" s="51" t="s">
        <v>138</v>
      </c>
      <c r="AE32" s="51" t="s">
        <v>138</v>
      </c>
      <c r="AF32" s="51" t="s">
        <v>138</v>
      </c>
      <c r="AG32" s="51" t="s">
        <v>138</v>
      </c>
      <c r="AH32" s="51" t="s">
        <v>138</v>
      </c>
      <c r="AI32" s="65" t="s">
        <v>138</v>
      </c>
    </row>
    <row r="33" spans="1:35" ht="38.25" customHeight="1" x14ac:dyDescent="0.25">
      <c r="A33" s="63" t="s">
        <v>189</v>
      </c>
      <c r="B33" s="63">
        <v>1</v>
      </c>
      <c r="C33" s="64" t="s">
        <v>149</v>
      </c>
      <c r="D33" s="51" t="s">
        <v>150</v>
      </c>
      <c r="E33" s="51">
        <v>112</v>
      </c>
      <c r="F33" s="51">
        <v>112</v>
      </c>
      <c r="G33" s="51">
        <v>0.05</v>
      </c>
      <c r="H33" s="51">
        <v>112</v>
      </c>
      <c r="I33" s="51" t="s">
        <v>151</v>
      </c>
      <c r="J33" s="51">
        <v>24</v>
      </c>
      <c r="K33" s="51">
        <v>55</v>
      </c>
      <c r="L33" s="51" t="s">
        <v>152</v>
      </c>
      <c r="M33" s="51">
        <v>180</v>
      </c>
      <c r="N33" s="51">
        <v>2.5</v>
      </c>
      <c r="O33" s="51">
        <v>10.71</v>
      </c>
      <c r="P33" s="51">
        <v>5.49</v>
      </c>
      <c r="Q33" s="51">
        <v>13.42</v>
      </c>
      <c r="R33" s="51" t="s">
        <v>180</v>
      </c>
      <c r="S33" s="51" t="s">
        <v>138</v>
      </c>
      <c r="T33" s="51" t="s">
        <v>138</v>
      </c>
      <c r="U33" s="51" t="s">
        <v>138</v>
      </c>
      <c r="V33" s="51" t="s">
        <v>138</v>
      </c>
      <c r="W33" s="51" t="s">
        <v>138</v>
      </c>
      <c r="X33" s="51" t="s">
        <v>138</v>
      </c>
      <c r="Y33" s="51" t="s">
        <v>138</v>
      </c>
      <c r="Z33" s="51" t="s">
        <v>138</v>
      </c>
      <c r="AA33" s="51" t="s">
        <v>138</v>
      </c>
      <c r="AB33" s="51" t="s">
        <v>138</v>
      </c>
      <c r="AC33" s="51" t="s">
        <v>138</v>
      </c>
      <c r="AD33" s="51" t="s">
        <v>138</v>
      </c>
      <c r="AE33" s="51" t="s">
        <v>138</v>
      </c>
      <c r="AF33" s="51" t="s">
        <v>138</v>
      </c>
      <c r="AG33" s="51" t="s">
        <v>138</v>
      </c>
      <c r="AH33" s="51" t="s">
        <v>138</v>
      </c>
      <c r="AI33" s="65" t="s">
        <v>138</v>
      </c>
    </row>
    <row r="34" spans="1:35" ht="38.25" customHeight="1" x14ac:dyDescent="0.25">
      <c r="A34" s="63" t="s">
        <v>190</v>
      </c>
      <c r="B34" s="63">
        <v>1</v>
      </c>
      <c r="C34" s="64" t="s">
        <v>149</v>
      </c>
      <c r="D34" s="51" t="s">
        <v>155</v>
      </c>
      <c r="E34" s="51">
        <v>175</v>
      </c>
      <c r="F34" s="51">
        <v>175</v>
      </c>
      <c r="G34" s="51">
        <v>0.13</v>
      </c>
      <c r="H34" s="51">
        <v>175</v>
      </c>
      <c r="I34" s="51" t="s">
        <v>151</v>
      </c>
      <c r="J34" s="51">
        <v>24</v>
      </c>
      <c r="K34" s="51">
        <v>55</v>
      </c>
      <c r="L34" s="51" t="s">
        <v>152</v>
      </c>
      <c r="M34" s="51">
        <v>180</v>
      </c>
      <c r="N34" s="51">
        <v>2.5</v>
      </c>
      <c r="O34" s="51">
        <v>15.36</v>
      </c>
      <c r="P34" s="51">
        <v>5.5</v>
      </c>
      <c r="Q34" s="51">
        <v>19.23</v>
      </c>
      <c r="R34" s="51" t="s">
        <v>180</v>
      </c>
      <c r="S34" s="51" t="s">
        <v>138</v>
      </c>
      <c r="T34" s="51" t="s">
        <v>138</v>
      </c>
      <c r="U34" s="51" t="s">
        <v>138</v>
      </c>
      <c r="V34" s="51" t="s">
        <v>138</v>
      </c>
      <c r="W34" s="51" t="s">
        <v>138</v>
      </c>
      <c r="X34" s="51" t="s">
        <v>138</v>
      </c>
      <c r="Y34" s="51" t="s">
        <v>138</v>
      </c>
      <c r="Z34" s="51" t="s">
        <v>138</v>
      </c>
      <c r="AA34" s="51" t="s">
        <v>138</v>
      </c>
      <c r="AB34" s="51" t="s">
        <v>138</v>
      </c>
      <c r="AC34" s="51" t="s">
        <v>138</v>
      </c>
      <c r="AD34" s="51" t="s">
        <v>138</v>
      </c>
      <c r="AE34" s="51" t="s">
        <v>138</v>
      </c>
      <c r="AF34" s="51" t="s">
        <v>138</v>
      </c>
      <c r="AG34" s="51" t="s">
        <v>138</v>
      </c>
      <c r="AH34" s="51" t="s">
        <v>138</v>
      </c>
      <c r="AI34" s="65" t="s">
        <v>138</v>
      </c>
    </row>
    <row r="35" spans="1:35" ht="38.25" customHeight="1" x14ac:dyDescent="0.25">
      <c r="A35" s="63" t="s">
        <v>191</v>
      </c>
      <c r="B35" s="63">
        <v>1</v>
      </c>
      <c r="C35" s="64" t="s">
        <v>149</v>
      </c>
      <c r="D35" s="51" t="s">
        <v>157</v>
      </c>
      <c r="E35" s="51">
        <v>250</v>
      </c>
      <c r="F35" s="51">
        <v>250</v>
      </c>
      <c r="G35" s="51">
        <v>0.24</v>
      </c>
      <c r="H35" s="51">
        <v>250</v>
      </c>
      <c r="I35" s="51" t="s">
        <v>151</v>
      </c>
      <c r="J35" s="51">
        <v>24</v>
      </c>
      <c r="K35" s="51">
        <v>55</v>
      </c>
      <c r="L35" s="51" t="s">
        <v>152</v>
      </c>
      <c r="M35" s="51">
        <v>180</v>
      </c>
      <c r="N35" s="51">
        <v>2.5</v>
      </c>
      <c r="O35" s="51">
        <v>19.88</v>
      </c>
      <c r="P35" s="51">
        <v>5.52</v>
      </c>
      <c r="Q35" s="51">
        <v>24.88</v>
      </c>
      <c r="R35" s="51" t="s">
        <v>180</v>
      </c>
      <c r="S35" s="51" t="s">
        <v>138</v>
      </c>
      <c r="T35" s="51" t="s">
        <v>138</v>
      </c>
      <c r="U35" s="51" t="s">
        <v>138</v>
      </c>
      <c r="V35" s="51" t="s">
        <v>138</v>
      </c>
      <c r="W35" s="51" t="s">
        <v>138</v>
      </c>
      <c r="X35" s="51" t="s">
        <v>138</v>
      </c>
      <c r="Y35" s="51" t="s">
        <v>138</v>
      </c>
      <c r="Z35" s="51" t="s">
        <v>138</v>
      </c>
      <c r="AA35" s="51" t="s">
        <v>138</v>
      </c>
      <c r="AB35" s="51" t="s">
        <v>138</v>
      </c>
      <c r="AC35" s="51" t="s">
        <v>138</v>
      </c>
      <c r="AD35" s="51" t="s">
        <v>138</v>
      </c>
      <c r="AE35" s="51" t="s">
        <v>138</v>
      </c>
      <c r="AF35" s="51" t="s">
        <v>138</v>
      </c>
      <c r="AG35" s="51" t="s">
        <v>138</v>
      </c>
      <c r="AH35" s="51" t="s">
        <v>138</v>
      </c>
      <c r="AI35" s="65" t="s">
        <v>138</v>
      </c>
    </row>
    <row r="36" spans="1:35" ht="38.25" customHeight="1" x14ac:dyDescent="0.25">
      <c r="A36" s="63" t="s">
        <v>192</v>
      </c>
      <c r="B36" s="63">
        <v>1</v>
      </c>
      <c r="C36" s="64" t="s">
        <v>149</v>
      </c>
      <c r="D36" s="51" t="s">
        <v>159</v>
      </c>
      <c r="E36" s="51">
        <v>450</v>
      </c>
      <c r="F36" s="51">
        <v>450</v>
      </c>
      <c r="G36" s="51">
        <v>0.38</v>
      </c>
      <c r="H36" s="51">
        <v>450</v>
      </c>
      <c r="I36" s="51" t="s">
        <v>151</v>
      </c>
      <c r="J36" s="51">
        <v>26</v>
      </c>
      <c r="K36" s="51">
        <v>55</v>
      </c>
      <c r="L36" s="51" t="s">
        <v>152</v>
      </c>
      <c r="M36" s="51">
        <v>180</v>
      </c>
      <c r="N36" s="51">
        <v>12</v>
      </c>
      <c r="O36" s="51">
        <v>7.28</v>
      </c>
      <c r="P36" s="51">
        <v>11.59</v>
      </c>
      <c r="Q36" s="51">
        <v>43.75</v>
      </c>
      <c r="R36" s="51" t="s">
        <v>180</v>
      </c>
      <c r="S36" s="51" t="s">
        <v>138</v>
      </c>
      <c r="T36" s="51" t="s">
        <v>138</v>
      </c>
      <c r="U36" s="51" t="s">
        <v>138</v>
      </c>
      <c r="V36" s="51" t="s">
        <v>138</v>
      </c>
      <c r="W36" s="51" t="s">
        <v>138</v>
      </c>
      <c r="X36" s="51" t="s">
        <v>138</v>
      </c>
      <c r="Y36" s="51" t="s">
        <v>138</v>
      </c>
      <c r="Z36" s="51" t="s">
        <v>138</v>
      </c>
      <c r="AA36" s="51" t="s">
        <v>138</v>
      </c>
      <c r="AB36" s="51" t="s">
        <v>138</v>
      </c>
      <c r="AC36" s="51" t="s">
        <v>138</v>
      </c>
      <c r="AD36" s="51" t="s">
        <v>138</v>
      </c>
      <c r="AE36" s="51" t="s">
        <v>138</v>
      </c>
      <c r="AF36" s="51" t="s">
        <v>138</v>
      </c>
      <c r="AG36" s="51" t="s">
        <v>138</v>
      </c>
      <c r="AH36" s="51" t="s">
        <v>138</v>
      </c>
      <c r="AI36" s="65" t="s">
        <v>138</v>
      </c>
    </row>
    <row r="37" spans="1:35" ht="38.25" customHeight="1" x14ac:dyDescent="0.25">
      <c r="A37" s="63" t="s">
        <v>193</v>
      </c>
      <c r="B37" s="63">
        <v>1</v>
      </c>
      <c r="C37" s="64" t="s">
        <v>149</v>
      </c>
      <c r="D37" s="51" t="s">
        <v>161</v>
      </c>
      <c r="E37" s="51">
        <v>700</v>
      </c>
      <c r="F37" s="51">
        <v>700</v>
      </c>
      <c r="G37" s="51">
        <v>0.4</v>
      </c>
      <c r="H37" s="51">
        <v>700</v>
      </c>
      <c r="I37" s="51" t="s">
        <v>151</v>
      </c>
      <c r="J37" s="51">
        <v>36</v>
      </c>
      <c r="K37" s="51">
        <v>55</v>
      </c>
      <c r="L37" s="51" t="s">
        <v>152</v>
      </c>
      <c r="M37" s="51">
        <v>180</v>
      </c>
      <c r="N37" s="51">
        <v>10</v>
      </c>
      <c r="O37" s="51">
        <v>13.35</v>
      </c>
      <c r="P37" s="51">
        <v>22.3</v>
      </c>
      <c r="Q37" s="51">
        <v>66.84</v>
      </c>
      <c r="R37" s="51" t="s">
        <v>180</v>
      </c>
      <c r="S37" s="51" t="s">
        <v>138</v>
      </c>
      <c r="T37" s="51" t="s">
        <v>138</v>
      </c>
      <c r="U37" s="51" t="s">
        <v>138</v>
      </c>
      <c r="V37" s="51" t="s">
        <v>138</v>
      </c>
      <c r="W37" s="51" t="s">
        <v>138</v>
      </c>
      <c r="X37" s="51" t="s">
        <v>138</v>
      </c>
      <c r="Y37" s="51" t="s">
        <v>138</v>
      </c>
      <c r="Z37" s="51" t="s">
        <v>138</v>
      </c>
      <c r="AA37" s="51" t="s">
        <v>138</v>
      </c>
      <c r="AB37" s="51" t="s">
        <v>138</v>
      </c>
      <c r="AC37" s="51" t="s">
        <v>138</v>
      </c>
      <c r="AD37" s="51" t="s">
        <v>138</v>
      </c>
      <c r="AE37" s="51" t="s">
        <v>138</v>
      </c>
      <c r="AF37" s="51" t="s">
        <v>138</v>
      </c>
      <c r="AG37" s="51" t="s">
        <v>138</v>
      </c>
      <c r="AH37" s="51" t="s">
        <v>138</v>
      </c>
      <c r="AI37" s="65" t="s">
        <v>138</v>
      </c>
    </row>
    <row r="38" spans="1:35" ht="38.25" customHeight="1" x14ac:dyDescent="0.25">
      <c r="A38" s="63" t="s">
        <v>194</v>
      </c>
      <c r="B38" s="63">
        <v>1</v>
      </c>
      <c r="C38" s="64" t="s">
        <v>149</v>
      </c>
      <c r="D38" s="51" t="s">
        <v>163</v>
      </c>
      <c r="E38" s="51">
        <v>1000</v>
      </c>
      <c r="F38" s="51">
        <v>1000</v>
      </c>
      <c r="G38" s="51">
        <v>0.41</v>
      </c>
      <c r="H38" s="51">
        <v>1000</v>
      </c>
      <c r="I38" s="51" t="s">
        <v>151</v>
      </c>
      <c r="J38" s="51">
        <v>45</v>
      </c>
      <c r="K38" s="51">
        <v>55</v>
      </c>
      <c r="L38" s="51" t="s">
        <v>152</v>
      </c>
      <c r="M38" s="51">
        <v>180</v>
      </c>
      <c r="N38" s="51">
        <v>14</v>
      </c>
      <c r="O38" s="51">
        <v>13.54</v>
      </c>
      <c r="P38" s="51">
        <v>13.01</v>
      </c>
      <c r="Q38" s="51">
        <v>94.96</v>
      </c>
      <c r="R38" s="51" t="s">
        <v>180</v>
      </c>
      <c r="S38" s="51" t="s">
        <v>138</v>
      </c>
      <c r="T38" s="51" t="s">
        <v>138</v>
      </c>
      <c r="U38" s="51" t="s">
        <v>138</v>
      </c>
      <c r="V38" s="51" t="s">
        <v>138</v>
      </c>
      <c r="W38" s="51" t="s">
        <v>138</v>
      </c>
      <c r="X38" s="51" t="s">
        <v>138</v>
      </c>
      <c r="Y38" s="51" t="s">
        <v>138</v>
      </c>
      <c r="Z38" s="51" t="s">
        <v>138</v>
      </c>
      <c r="AA38" s="51" t="s">
        <v>138</v>
      </c>
      <c r="AB38" s="51" t="s">
        <v>138</v>
      </c>
      <c r="AC38" s="51" t="s">
        <v>138</v>
      </c>
      <c r="AD38" s="51" t="s">
        <v>138</v>
      </c>
      <c r="AE38" s="51" t="s">
        <v>138</v>
      </c>
      <c r="AF38" s="51" t="s">
        <v>138</v>
      </c>
      <c r="AG38" s="51" t="s">
        <v>138</v>
      </c>
      <c r="AH38" s="51" t="s">
        <v>138</v>
      </c>
      <c r="AI38" s="65" t="s">
        <v>138</v>
      </c>
    </row>
    <row r="39" spans="1:35" ht="38.25" customHeight="1" x14ac:dyDescent="0.25">
      <c r="A39" s="63" t="s">
        <v>195</v>
      </c>
      <c r="B39" s="63">
        <v>1</v>
      </c>
      <c r="C39" s="64" t="s">
        <v>149</v>
      </c>
      <c r="D39" s="51" t="s">
        <v>165</v>
      </c>
      <c r="E39" s="51">
        <v>1500</v>
      </c>
      <c r="F39" s="51">
        <v>1500</v>
      </c>
      <c r="G39" s="51">
        <v>0.43</v>
      </c>
      <c r="H39" s="51">
        <v>1500</v>
      </c>
      <c r="I39" s="51" t="s">
        <v>151</v>
      </c>
      <c r="J39" s="51">
        <v>55</v>
      </c>
      <c r="K39" s="51">
        <v>55</v>
      </c>
      <c r="L39" s="51" t="s">
        <v>152</v>
      </c>
      <c r="M39" s="51">
        <v>180</v>
      </c>
      <c r="N39" s="51">
        <v>15</v>
      </c>
      <c r="O39" s="51">
        <v>18.34</v>
      </c>
      <c r="P39" s="51">
        <v>11.36</v>
      </c>
      <c r="Q39" s="51">
        <v>137.71</v>
      </c>
      <c r="R39" s="51" t="s">
        <v>180</v>
      </c>
      <c r="S39" s="51" t="s">
        <v>138</v>
      </c>
      <c r="T39" s="51" t="s">
        <v>138</v>
      </c>
      <c r="U39" s="51" t="s">
        <v>138</v>
      </c>
      <c r="V39" s="51" t="s">
        <v>138</v>
      </c>
      <c r="W39" s="51" t="s">
        <v>138</v>
      </c>
      <c r="X39" s="51" t="s">
        <v>138</v>
      </c>
      <c r="Y39" s="51" t="s">
        <v>138</v>
      </c>
      <c r="Z39" s="51" t="s">
        <v>138</v>
      </c>
      <c r="AA39" s="51" t="s">
        <v>138</v>
      </c>
      <c r="AB39" s="51" t="s">
        <v>138</v>
      </c>
      <c r="AC39" s="51" t="s">
        <v>138</v>
      </c>
      <c r="AD39" s="51" t="s">
        <v>138</v>
      </c>
      <c r="AE39" s="51" t="s">
        <v>138</v>
      </c>
      <c r="AF39" s="51" t="s">
        <v>138</v>
      </c>
      <c r="AG39" s="51" t="s">
        <v>138</v>
      </c>
      <c r="AH39" s="51" t="s">
        <v>138</v>
      </c>
      <c r="AI39" s="65" t="s">
        <v>138</v>
      </c>
    </row>
    <row r="40" spans="1:35" ht="38.25" customHeight="1" x14ac:dyDescent="0.25">
      <c r="A40" s="63" t="s">
        <v>196</v>
      </c>
      <c r="B40" s="63">
        <v>1</v>
      </c>
      <c r="C40" s="64" t="s">
        <v>149</v>
      </c>
      <c r="D40" s="51" t="s">
        <v>167</v>
      </c>
      <c r="E40" s="51">
        <v>2000</v>
      </c>
      <c r="F40" s="51">
        <v>2000</v>
      </c>
      <c r="G40" s="51">
        <v>0.52</v>
      </c>
      <c r="H40" s="51">
        <v>2000</v>
      </c>
      <c r="I40" s="51" t="s">
        <v>151</v>
      </c>
      <c r="J40" s="51">
        <v>61</v>
      </c>
      <c r="K40" s="51">
        <v>55</v>
      </c>
      <c r="L40" s="51" t="s">
        <v>152</v>
      </c>
      <c r="M40" s="51">
        <v>180</v>
      </c>
      <c r="N40" s="51">
        <v>17</v>
      </c>
      <c r="O40" s="51">
        <v>20.83</v>
      </c>
      <c r="P40" s="51">
        <v>15.37</v>
      </c>
      <c r="Q40" s="51">
        <v>177.27</v>
      </c>
      <c r="R40" s="51" t="s">
        <v>180</v>
      </c>
      <c r="S40" s="51" t="s">
        <v>138</v>
      </c>
      <c r="T40" s="51" t="s">
        <v>138</v>
      </c>
      <c r="U40" s="51" t="s">
        <v>138</v>
      </c>
      <c r="V40" s="51" t="s">
        <v>138</v>
      </c>
      <c r="W40" s="51" t="s">
        <v>138</v>
      </c>
      <c r="X40" s="51" t="s">
        <v>138</v>
      </c>
      <c r="Y40" s="51" t="s">
        <v>138</v>
      </c>
      <c r="Z40" s="51" t="s">
        <v>138</v>
      </c>
      <c r="AA40" s="51" t="s">
        <v>138</v>
      </c>
      <c r="AB40" s="51" t="s">
        <v>138</v>
      </c>
      <c r="AC40" s="51" t="s">
        <v>138</v>
      </c>
      <c r="AD40" s="51" t="s">
        <v>138</v>
      </c>
      <c r="AE40" s="51" t="s">
        <v>138</v>
      </c>
      <c r="AF40" s="51" t="s">
        <v>138</v>
      </c>
      <c r="AG40" s="51" t="s">
        <v>138</v>
      </c>
      <c r="AH40" s="51" t="s">
        <v>138</v>
      </c>
      <c r="AI40" s="65" t="s">
        <v>138</v>
      </c>
    </row>
    <row r="41" spans="1:35" ht="38.25" customHeight="1" x14ac:dyDescent="0.25">
      <c r="A41" s="63" t="s">
        <v>197</v>
      </c>
      <c r="B41" s="63">
        <v>1</v>
      </c>
      <c r="C41" s="64" t="s">
        <v>149</v>
      </c>
      <c r="D41" s="51" t="s">
        <v>169</v>
      </c>
      <c r="E41" s="51">
        <v>4000</v>
      </c>
      <c r="F41" s="51">
        <v>4000</v>
      </c>
      <c r="G41" s="51">
        <v>1.27</v>
      </c>
      <c r="H41" s="51">
        <v>4000</v>
      </c>
      <c r="I41" s="51" t="s">
        <v>151</v>
      </c>
      <c r="J41" s="51">
        <v>82</v>
      </c>
      <c r="K41" s="51">
        <v>55</v>
      </c>
      <c r="L41" s="51" t="s">
        <v>152</v>
      </c>
      <c r="M41" s="51">
        <v>180</v>
      </c>
      <c r="N41" s="51">
        <v>17</v>
      </c>
      <c r="O41" s="51">
        <v>32.08</v>
      </c>
      <c r="P41" s="51">
        <v>16.399999999999999</v>
      </c>
      <c r="Q41" s="51">
        <v>272.92</v>
      </c>
      <c r="R41" s="51" t="s">
        <v>180</v>
      </c>
      <c r="S41" s="51" t="s">
        <v>138</v>
      </c>
      <c r="T41" s="51" t="s">
        <v>138</v>
      </c>
      <c r="U41" s="51" t="s">
        <v>138</v>
      </c>
      <c r="V41" s="51" t="s">
        <v>138</v>
      </c>
      <c r="W41" s="51" t="s">
        <v>138</v>
      </c>
      <c r="X41" s="51" t="s">
        <v>138</v>
      </c>
      <c r="Y41" s="51" t="s">
        <v>138</v>
      </c>
      <c r="Z41" s="51" t="s">
        <v>138</v>
      </c>
      <c r="AA41" s="51" t="s">
        <v>138</v>
      </c>
      <c r="AB41" s="51" t="s">
        <v>138</v>
      </c>
      <c r="AC41" s="51" t="s">
        <v>138</v>
      </c>
      <c r="AD41" s="51" t="s">
        <v>138</v>
      </c>
      <c r="AE41" s="51" t="s">
        <v>138</v>
      </c>
      <c r="AF41" s="51" t="s">
        <v>138</v>
      </c>
      <c r="AG41" s="51" t="s">
        <v>138</v>
      </c>
      <c r="AH41" s="51" t="s">
        <v>138</v>
      </c>
      <c r="AI41" s="65" t="s">
        <v>138</v>
      </c>
    </row>
    <row r="42" spans="1:35" ht="38.25" customHeight="1" x14ac:dyDescent="0.25">
      <c r="A42" s="63" t="s">
        <v>198</v>
      </c>
      <c r="B42" s="63">
        <v>1</v>
      </c>
      <c r="C42" s="64" t="s">
        <v>149</v>
      </c>
      <c r="D42" s="51" t="s">
        <v>150</v>
      </c>
      <c r="E42" s="51">
        <v>180</v>
      </c>
      <c r="F42" s="51">
        <v>180</v>
      </c>
      <c r="G42" s="51">
        <v>0.1</v>
      </c>
      <c r="H42" s="51">
        <v>180</v>
      </c>
      <c r="I42" s="51" t="s">
        <v>151</v>
      </c>
      <c r="J42" s="51">
        <v>22</v>
      </c>
      <c r="K42" s="51">
        <v>55</v>
      </c>
      <c r="L42" s="51" t="s">
        <v>152</v>
      </c>
      <c r="M42" s="51">
        <v>180</v>
      </c>
      <c r="N42" s="51">
        <v>0.5</v>
      </c>
      <c r="O42" s="51">
        <v>52.31</v>
      </c>
      <c r="P42" s="51">
        <v>0.25</v>
      </c>
      <c r="Q42" s="51">
        <v>13.07</v>
      </c>
      <c r="R42" s="51" t="s">
        <v>153</v>
      </c>
      <c r="S42" s="51" t="s">
        <v>138</v>
      </c>
      <c r="T42" s="51" t="s">
        <v>138</v>
      </c>
      <c r="U42" s="51" t="s">
        <v>138</v>
      </c>
      <c r="V42" s="51" t="s">
        <v>138</v>
      </c>
      <c r="W42" s="51" t="s">
        <v>138</v>
      </c>
      <c r="X42" s="51" t="s">
        <v>138</v>
      </c>
      <c r="Y42" s="51" t="s">
        <v>138</v>
      </c>
      <c r="Z42" s="51" t="s">
        <v>138</v>
      </c>
      <c r="AA42" s="51" t="s">
        <v>138</v>
      </c>
      <c r="AB42" s="51" t="s">
        <v>138</v>
      </c>
      <c r="AC42" s="51" t="s">
        <v>138</v>
      </c>
      <c r="AD42" s="51" t="s">
        <v>138</v>
      </c>
      <c r="AE42" s="51" t="s">
        <v>138</v>
      </c>
      <c r="AF42" s="51" t="s">
        <v>138</v>
      </c>
      <c r="AG42" s="51" t="s">
        <v>138</v>
      </c>
      <c r="AH42" s="51" t="s">
        <v>138</v>
      </c>
      <c r="AI42" s="65" t="s">
        <v>138</v>
      </c>
    </row>
    <row r="43" spans="1:35" ht="38.25" customHeight="1" x14ac:dyDescent="0.25">
      <c r="A43" s="63" t="s">
        <v>199</v>
      </c>
      <c r="B43" s="63">
        <v>1</v>
      </c>
      <c r="C43" s="64" t="s">
        <v>149</v>
      </c>
      <c r="D43" s="51" t="s">
        <v>155</v>
      </c>
      <c r="E43" s="51">
        <v>280</v>
      </c>
      <c r="F43" s="51">
        <v>280</v>
      </c>
      <c r="G43" s="51">
        <v>0.24</v>
      </c>
      <c r="H43" s="51">
        <v>280</v>
      </c>
      <c r="I43" s="51" t="s">
        <v>151</v>
      </c>
      <c r="J43" s="51">
        <v>22</v>
      </c>
      <c r="K43" s="51">
        <v>55</v>
      </c>
      <c r="L43" s="51" t="s">
        <v>152</v>
      </c>
      <c r="M43" s="51">
        <v>180</v>
      </c>
      <c r="N43" s="51">
        <v>0.5</v>
      </c>
      <c r="O43" s="51">
        <v>62.18</v>
      </c>
      <c r="P43" s="51">
        <v>0.25</v>
      </c>
      <c r="Q43" s="51">
        <v>15.54</v>
      </c>
      <c r="R43" s="51" t="s">
        <v>153</v>
      </c>
      <c r="S43" s="51" t="s">
        <v>138</v>
      </c>
      <c r="T43" s="51" t="s">
        <v>138</v>
      </c>
      <c r="U43" s="51" t="s">
        <v>138</v>
      </c>
      <c r="V43" s="51" t="s">
        <v>138</v>
      </c>
      <c r="W43" s="51" t="s">
        <v>138</v>
      </c>
      <c r="X43" s="51" t="s">
        <v>138</v>
      </c>
      <c r="Y43" s="51" t="s">
        <v>138</v>
      </c>
      <c r="Z43" s="51" t="s">
        <v>138</v>
      </c>
      <c r="AA43" s="51" t="s">
        <v>138</v>
      </c>
      <c r="AB43" s="51" t="s">
        <v>138</v>
      </c>
      <c r="AC43" s="51" t="s">
        <v>138</v>
      </c>
      <c r="AD43" s="51" t="s">
        <v>138</v>
      </c>
      <c r="AE43" s="51" t="s">
        <v>138</v>
      </c>
      <c r="AF43" s="51" t="s">
        <v>138</v>
      </c>
      <c r="AG43" s="51" t="s">
        <v>138</v>
      </c>
      <c r="AH43" s="51" t="s">
        <v>138</v>
      </c>
      <c r="AI43" s="65" t="s">
        <v>138</v>
      </c>
    </row>
    <row r="44" spans="1:35" ht="38.25" customHeight="1" x14ac:dyDescent="0.25">
      <c r="A44" s="63" t="s">
        <v>200</v>
      </c>
      <c r="B44" s="63">
        <v>1</v>
      </c>
      <c r="C44" s="64" t="s">
        <v>149</v>
      </c>
      <c r="D44" s="51" t="s">
        <v>157</v>
      </c>
      <c r="E44" s="51">
        <v>400</v>
      </c>
      <c r="F44" s="51">
        <v>400</v>
      </c>
      <c r="G44" s="51">
        <v>0.45</v>
      </c>
      <c r="H44" s="51">
        <v>400</v>
      </c>
      <c r="I44" s="51" t="s">
        <v>151</v>
      </c>
      <c r="J44" s="51">
        <v>22</v>
      </c>
      <c r="K44" s="51">
        <v>55</v>
      </c>
      <c r="L44" s="51" t="s">
        <v>152</v>
      </c>
      <c r="M44" s="51">
        <v>180</v>
      </c>
      <c r="N44" s="51">
        <v>1</v>
      </c>
      <c r="O44" s="51">
        <v>46.29</v>
      </c>
      <c r="P44" s="51">
        <v>0.84</v>
      </c>
      <c r="Q44" s="51">
        <v>23.15</v>
      </c>
      <c r="R44" s="51" t="s">
        <v>153</v>
      </c>
      <c r="S44" s="51" t="s">
        <v>138</v>
      </c>
      <c r="T44" s="51" t="s">
        <v>138</v>
      </c>
      <c r="U44" s="51" t="s">
        <v>138</v>
      </c>
      <c r="V44" s="51" t="s">
        <v>138</v>
      </c>
      <c r="W44" s="51" t="s">
        <v>138</v>
      </c>
      <c r="X44" s="51" t="s">
        <v>138</v>
      </c>
      <c r="Y44" s="51" t="s">
        <v>138</v>
      </c>
      <c r="Z44" s="51" t="s">
        <v>138</v>
      </c>
      <c r="AA44" s="51" t="s">
        <v>138</v>
      </c>
      <c r="AB44" s="51" t="s">
        <v>138</v>
      </c>
      <c r="AC44" s="51" t="s">
        <v>138</v>
      </c>
      <c r="AD44" s="51" t="s">
        <v>138</v>
      </c>
      <c r="AE44" s="51" t="s">
        <v>138</v>
      </c>
      <c r="AF44" s="51" t="s">
        <v>138</v>
      </c>
      <c r="AG44" s="51" t="s">
        <v>138</v>
      </c>
      <c r="AH44" s="51" t="s">
        <v>138</v>
      </c>
      <c r="AI44" s="65" t="s">
        <v>138</v>
      </c>
    </row>
    <row r="45" spans="1:35" ht="38.25" customHeight="1" x14ac:dyDescent="0.25">
      <c r="A45" s="63" t="s">
        <v>201</v>
      </c>
      <c r="B45" s="63">
        <v>1</v>
      </c>
      <c r="C45" s="64" t="s">
        <v>149</v>
      </c>
      <c r="D45" s="51" t="s">
        <v>159</v>
      </c>
      <c r="E45" s="51">
        <v>720</v>
      </c>
      <c r="F45" s="51">
        <v>720</v>
      </c>
      <c r="G45" s="51">
        <v>0.67</v>
      </c>
      <c r="H45" s="51">
        <v>720</v>
      </c>
      <c r="I45" s="51" t="s">
        <v>151</v>
      </c>
      <c r="J45" s="51">
        <v>24</v>
      </c>
      <c r="K45" s="51">
        <v>55</v>
      </c>
      <c r="L45" s="51" t="s">
        <v>152</v>
      </c>
      <c r="M45" s="51">
        <v>180</v>
      </c>
      <c r="N45" s="51">
        <v>2.5</v>
      </c>
      <c r="O45" s="51">
        <v>31.07</v>
      </c>
      <c r="P45" s="51">
        <v>0.53</v>
      </c>
      <c r="Q45" s="51">
        <v>38.869999999999997</v>
      </c>
      <c r="R45" s="51" t="s">
        <v>153</v>
      </c>
      <c r="S45" s="51" t="s">
        <v>138</v>
      </c>
      <c r="T45" s="51" t="s">
        <v>138</v>
      </c>
      <c r="U45" s="51" t="s">
        <v>138</v>
      </c>
      <c r="V45" s="51" t="s">
        <v>138</v>
      </c>
      <c r="W45" s="51" t="s">
        <v>138</v>
      </c>
      <c r="X45" s="51" t="s">
        <v>138</v>
      </c>
      <c r="Y45" s="51" t="s">
        <v>138</v>
      </c>
      <c r="Z45" s="51" t="s">
        <v>138</v>
      </c>
      <c r="AA45" s="51" t="s">
        <v>138</v>
      </c>
      <c r="AB45" s="51" t="s">
        <v>138</v>
      </c>
      <c r="AC45" s="51" t="s">
        <v>138</v>
      </c>
      <c r="AD45" s="51" t="s">
        <v>138</v>
      </c>
      <c r="AE45" s="51" t="s">
        <v>138</v>
      </c>
      <c r="AF45" s="51" t="s">
        <v>138</v>
      </c>
      <c r="AG45" s="51" t="s">
        <v>138</v>
      </c>
      <c r="AH45" s="51" t="s">
        <v>138</v>
      </c>
      <c r="AI45" s="65" t="s">
        <v>138</v>
      </c>
    </row>
    <row r="46" spans="1:35" ht="38.25" customHeight="1" x14ac:dyDescent="0.25">
      <c r="A46" s="63" t="s">
        <v>202</v>
      </c>
      <c r="B46" s="63">
        <v>1</v>
      </c>
      <c r="C46" s="64" t="s">
        <v>149</v>
      </c>
      <c r="D46" s="51" t="s">
        <v>161</v>
      </c>
      <c r="E46" s="51">
        <v>1120</v>
      </c>
      <c r="F46" s="51">
        <v>1120</v>
      </c>
      <c r="G46" s="51">
        <v>0.68</v>
      </c>
      <c r="H46" s="51">
        <v>1120</v>
      </c>
      <c r="I46" s="51" t="s">
        <v>151</v>
      </c>
      <c r="J46" s="51">
        <v>32</v>
      </c>
      <c r="K46" s="51">
        <v>55</v>
      </c>
      <c r="L46" s="51" t="s">
        <v>152</v>
      </c>
      <c r="M46" s="51">
        <v>180</v>
      </c>
      <c r="N46" s="51">
        <v>2.5</v>
      </c>
      <c r="O46" s="51">
        <v>46.22</v>
      </c>
      <c r="P46" s="51">
        <v>1.33</v>
      </c>
      <c r="Q46" s="51">
        <v>57.77</v>
      </c>
      <c r="R46" s="51" t="s">
        <v>153</v>
      </c>
      <c r="S46" s="51" t="s">
        <v>138</v>
      </c>
      <c r="T46" s="51" t="s">
        <v>138</v>
      </c>
      <c r="U46" s="51" t="s">
        <v>138</v>
      </c>
      <c r="V46" s="51" t="s">
        <v>138</v>
      </c>
      <c r="W46" s="51" t="s">
        <v>138</v>
      </c>
      <c r="X46" s="51" t="s">
        <v>138</v>
      </c>
      <c r="Y46" s="51" t="s">
        <v>138</v>
      </c>
      <c r="Z46" s="51" t="s">
        <v>138</v>
      </c>
      <c r="AA46" s="51" t="s">
        <v>138</v>
      </c>
      <c r="AB46" s="51" t="s">
        <v>138</v>
      </c>
      <c r="AC46" s="51" t="s">
        <v>138</v>
      </c>
      <c r="AD46" s="51" t="s">
        <v>138</v>
      </c>
      <c r="AE46" s="51" t="s">
        <v>138</v>
      </c>
      <c r="AF46" s="51" t="s">
        <v>138</v>
      </c>
      <c r="AG46" s="51" t="s">
        <v>138</v>
      </c>
      <c r="AH46" s="51" t="s">
        <v>138</v>
      </c>
      <c r="AI46" s="65" t="s">
        <v>138</v>
      </c>
    </row>
    <row r="47" spans="1:35" ht="38.25" customHeight="1" x14ac:dyDescent="0.25">
      <c r="A47" s="63" t="s">
        <v>203</v>
      </c>
      <c r="B47" s="63">
        <v>1</v>
      </c>
      <c r="C47" s="64" t="s">
        <v>149</v>
      </c>
      <c r="D47" s="51" t="s">
        <v>163</v>
      </c>
      <c r="E47" s="51">
        <v>1600</v>
      </c>
      <c r="F47" s="51">
        <v>1600</v>
      </c>
      <c r="G47" s="51">
        <v>0.69</v>
      </c>
      <c r="H47" s="51">
        <v>1600</v>
      </c>
      <c r="I47" s="51" t="s">
        <v>151</v>
      </c>
      <c r="J47" s="51">
        <v>41</v>
      </c>
      <c r="K47" s="51">
        <v>55</v>
      </c>
      <c r="L47" s="51" t="s">
        <v>152</v>
      </c>
      <c r="M47" s="51">
        <v>180</v>
      </c>
      <c r="N47" s="51">
        <v>3.5</v>
      </c>
      <c r="O47" s="51">
        <v>43.72</v>
      </c>
      <c r="P47" s="51">
        <v>0.84</v>
      </c>
      <c r="Q47" s="51">
        <v>76.53</v>
      </c>
      <c r="R47" s="51" t="s">
        <v>153</v>
      </c>
      <c r="S47" s="51" t="s">
        <v>138</v>
      </c>
      <c r="T47" s="51" t="s">
        <v>138</v>
      </c>
      <c r="U47" s="51" t="s">
        <v>138</v>
      </c>
      <c r="V47" s="51" t="s">
        <v>138</v>
      </c>
      <c r="W47" s="51" t="s">
        <v>138</v>
      </c>
      <c r="X47" s="51" t="s">
        <v>138</v>
      </c>
      <c r="Y47" s="51" t="s">
        <v>138</v>
      </c>
      <c r="Z47" s="51" t="s">
        <v>138</v>
      </c>
      <c r="AA47" s="51" t="s">
        <v>138</v>
      </c>
      <c r="AB47" s="51" t="s">
        <v>138</v>
      </c>
      <c r="AC47" s="51" t="s">
        <v>138</v>
      </c>
      <c r="AD47" s="51" t="s">
        <v>138</v>
      </c>
      <c r="AE47" s="51" t="s">
        <v>138</v>
      </c>
      <c r="AF47" s="51" t="s">
        <v>138</v>
      </c>
      <c r="AG47" s="51" t="s">
        <v>138</v>
      </c>
      <c r="AH47" s="51" t="s">
        <v>138</v>
      </c>
      <c r="AI47" s="65" t="s">
        <v>138</v>
      </c>
    </row>
    <row r="48" spans="1:35" ht="38.25" customHeight="1" x14ac:dyDescent="0.25">
      <c r="A48" s="63" t="s">
        <v>204</v>
      </c>
      <c r="B48" s="63">
        <v>1</v>
      </c>
      <c r="C48" s="64" t="s">
        <v>149</v>
      </c>
      <c r="D48" s="51" t="s">
        <v>165</v>
      </c>
      <c r="E48" s="51">
        <v>2400</v>
      </c>
      <c r="F48" s="51">
        <v>2400</v>
      </c>
      <c r="G48" s="51">
        <v>0.74</v>
      </c>
      <c r="H48" s="51">
        <v>2400</v>
      </c>
      <c r="I48" s="51" t="s">
        <v>151</v>
      </c>
      <c r="J48" s="51">
        <v>51</v>
      </c>
      <c r="K48" s="51">
        <v>55</v>
      </c>
      <c r="L48" s="51" t="s">
        <v>152</v>
      </c>
      <c r="M48" s="51">
        <v>180</v>
      </c>
      <c r="N48" s="51">
        <v>5</v>
      </c>
      <c r="O48" s="51">
        <v>47.29</v>
      </c>
      <c r="P48" s="51">
        <v>1.25</v>
      </c>
      <c r="Q48" s="51">
        <v>118.23</v>
      </c>
      <c r="R48" s="51" t="s">
        <v>153</v>
      </c>
      <c r="S48" s="51" t="s">
        <v>138</v>
      </c>
      <c r="T48" s="51" t="s">
        <v>138</v>
      </c>
      <c r="U48" s="51" t="s">
        <v>138</v>
      </c>
      <c r="V48" s="51" t="s">
        <v>138</v>
      </c>
      <c r="W48" s="51" t="s">
        <v>138</v>
      </c>
      <c r="X48" s="51" t="s">
        <v>138</v>
      </c>
      <c r="Y48" s="51" t="s">
        <v>138</v>
      </c>
      <c r="Z48" s="51" t="s">
        <v>138</v>
      </c>
      <c r="AA48" s="51" t="s">
        <v>138</v>
      </c>
      <c r="AB48" s="51" t="s">
        <v>138</v>
      </c>
      <c r="AC48" s="51" t="s">
        <v>138</v>
      </c>
      <c r="AD48" s="51" t="s">
        <v>138</v>
      </c>
      <c r="AE48" s="51" t="s">
        <v>138</v>
      </c>
      <c r="AF48" s="51" t="s">
        <v>138</v>
      </c>
      <c r="AG48" s="51" t="s">
        <v>138</v>
      </c>
      <c r="AH48" s="51" t="s">
        <v>138</v>
      </c>
      <c r="AI48" s="65" t="s">
        <v>138</v>
      </c>
    </row>
    <row r="49" spans="1:35" ht="38.25" customHeight="1" x14ac:dyDescent="0.25">
      <c r="A49" s="63" t="s">
        <v>205</v>
      </c>
      <c r="B49" s="63">
        <v>1</v>
      </c>
      <c r="C49" s="64" t="s">
        <v>149</v>
      </c>
      <c r="D49" s="51" t="s">
        <v>167</v>
      </c>
      <c r="E49" s="51">
        <v>3200</v>
      </c>
      <c r="F49" s="51">
        <v>3200</v>
      </c>
      <c r="G49" s="51">
        <v>0.88</v>
      </c>
      <c r="H49" s="51">
        <v>3200</v>
      </c>
      <c r="I49" s="51" t="s">
        <v>151</v>
      </c>
      <c r="J49" s="51">
        <v>56</v>
      </c>
      <c r="K49" s="51">
        <v>55</v>
      </c>
      <c r="L49" s="51" t="s">
        <v>152</v>
      </c>
      <c r="M49" s="51">
        <v>180</v>
      </c>
      <c r="N49" s="51">
        <v>5</v>
      </c>
      <c r="O49" s="51">
        <v>56.6</v>
      </c>
      <c r="P49" s="51">
        <v>1.34</v>
      </c>
      <c r="Q49" s="51">
        <v>141.43</v>
      </c>
      <c r="R49" s="51" t="s">
        <v>153</v>
      </c>
      <c r="S49" s="51" t="s">
        <v>138</v>
      </c>
      <c r="T49" s="51" t="s">
        <v>138</v>
      </c>
      <c r="U49" s="51" t="s">
        <v>138</v>
      </c>
      <c r="V49" s="51" t="s">
        <v>138</v>
      </c>
      <c r="W49" s="51" t="s">
        <v>138</v>
      </c>
      <c r="X49" s="51" t="s">
        <v>138</v>
      </c>
      <c r="Y49" s="51" t="s">
        <v>138</v>
      </c>
      <c r="Z49" s="51" t="s">
        <v>138</v>
      </c>
      <c r="AA49" s="51" t="s">
        <v>138</v>
      </c>
      <c r="AB49" s="51" t="s">
        <v>138</v>
      </c>
      <c r="AC49" s="51" t="s">
        <v>138</v>
      </c>
      <c r="AD49" s="51" t="s">
        <v>138</v>
      </c>
      <c r="AE49" s="51" t="s">
        <v>138</v>
      </c>
      <c r="AF49" s="51" t="s">
        <v>138</v>
      </c>
      <c r="AG49" s="51" t="s">
        <v>138</v>
      </c>
      <c r="AH49" s="51" t="s">
        <v>138</v>
      </c>
      <c r="AI49" s="65" t="s">
        <v>138</v>
      </c>
    </row>
    <row r="50" spans="1:35" ht="38.25" customHeight="1" x14ac:dyDescent="0.25">
      <c r="A50" s="63" t="s">
        <v>206</v>
      </c>
      <c r="B50" s="63">
        <v>1</v>
      </c>
      <c r="C50" s="64" t="s">
        <v>149</v>
      </c>
      <c r="D50" s="51" t="s">
        <v>169</v>
      </c>
      <c r="E50" s="51">
        <v>5000</v>
      </c>
      <c r="F50" s="51">
        <v>5000</v>
      </c>
      <c r="G50" s="51">
        <v>1.95</v>
      </c>
      <c r="H50" s="51">
        <v>5000</v>
      </c>
      <c r="I50" s="51" t="s">
        <v>151</v>
      </c>
      <c r="J50" s="51">
        <v>82</v>
      </c>
      <c r="K50" s="51">
        <v>55</v>
      </c>
      <c r="L50" s="51" t="s">
        <v>152</v>
      </c>
      <c r="M50" s="51">
        <v>180</v>
      </c>
      <c r="N50" s="51">
        <v>5</v>
      </c>
      <c r="O50" s="51">
        <v>79.5</v>
      </c>
      <c r="P50" s="51">
        <v>1.73</v>
      </c>
      <c r="Q50" s="51">
        <v>198.5</v>
      </c>
      <c r="R50" s="51" t="s">
        <v>180</v>
      </c>
      <c r="S50" s="51" t="s">
        <v>138</v>
      </c>
      <c r="T50" s="51" t="s">
        <v>138</v>
      </c>
      <c r="U50" s="51" t="s">
        <v>138</v>
      </c>
      <c r="V50" s="51" t="s">
        <v>138</v>
      </c>
      <c r="W50" s="51" t="s">
        <v>138</v>
      </c>
      <c r="X50" s="51" t="s">
        <v>138</v>
      </c>
      <c r="Y50" s="51" t="s">
        <v>138</v>
      </c>
      <c r="Z50" s="51" t="s">
        <v>138</v>
      </c>
      <c r="AA50" s="51" t="s">
        <v>138</v>
      </c>
      <c r="AB50" s="51" t="s">
        <v>138</v>
      </c>
      <c r="AC50" s="51" t="s">
        <v>138</v>
      </c>
      <c r="AD50" s="51" t="s">
        <v>138</v>
      </c>
      <c r="AE50" s="51" t="s">
        <v>138</v>
      </c>
      <c r="AF50" s="51" t="s">
        <v>138</v>
      </c>
      <c r="AG50" s="51" t="s">
        <v>138</v>
      </c>
      <c r="AH50" s="51" t="s">
        <v>138</v>
      </c>
      <c r="AI50" s="65" t="s">
        <v>138</v>
      </c>
    </row>
    <row r="51" spans="1:35" ht="38.25" customHeight="1" x14ac:dyDescent="0.25">
      <c r="A51" s="63" t="s">
        <v>207</v>
      </c>
      <c r="B51" s="63">
        <v>1</v>
      </c>
      <c r="C51" s="64" t="s">
        <v>149</v>
      </c>
      <c r="D51" s="51" t="s">
        <v>150</v>
      </c>
      <c r="E51" s="51">
        <v>180</v>
      </c>
      <c r="F51" s="51">
        <v>180</v>
      </c>
      <c r="G51" s="51">
        <v>0.1</v>
      </c>
      <c r="H51" s="51">
        <v>180</v>
      </c>
      <c r="I51" s="51" t="s">
        <v>151</v>
      </c>
      <c r="J51" s="51">
        <v>22</v>
      </c>
      <c r="K51" s="51">
        <v>55</v>
      </c>
      <c r="L51" s="51" t="s">
        <v>152</v>
      </c>
      <c r="M51" s="51">
        <v>180</v>
      </c>
      <c r="N51" s="51">
        <v>2.5</v>
      </c>
      <c r="O51" s="51">
        <v>13.87</v>
      </c>
      <c r="P51" s="51">
        <v>4.22</v>
      </c>
      <c r="Q51" s="51">
        <v>17.37</v>
      </c>
      <c r="R51" s="51" t="s">
        <v>153</v>
      </c>
      <c r="S51" s="51" t="s">
        <v>138</v>
      </c>
      <c r="T51" s="51" t="s">
        <v>138</v>
      </c>
      <c r="U51" s="51" t="s">
        <v>138</v>
      </c>
      <c r="V51" s="51" t="s">
        <v>138</v>
      </c>
      <c r="W51" s="51" t="s">
        <v>138</v>
      </c>
      <c r="X51" s="51" t="s">
        <v>138</v>
      </c>
      <c r="Y51" s="51" t="s">
        <v>138</v>
      </c>
      <c r="Z51" s="51" t="s">
        <v>138</v>
      </c>
      <c r="AA51" s="51" t="s">
        <v>138</v>
      </c>
      <c r="AB51" s="51" t="s">
        <v>138</v>
      </c>
      <c r="AC51" s="51" t="s">
        <v>138</v>
      </c>
      <c r="AD51" s="51" t="s">
        <v>138</v>
      </c>
      <c r="AE51" s="51" t="s">
        <v>138</v>
      </c>
      <c r="AF51" s="51" t="s">
        <v>138</v>
      </c>
      <c r="AG51" s="51" t="s">
        <v>138</v>
      </c>
      <c r="AH51" s="51" t="s">
        <v>138</v>
      </c>
      <c r="AI51" s="65" t="s">
        <v>138</v>
      </c>
    </row>
    <row r="52" spans="1:35" ht="38.25" customHeight="1" x14ac:dyDescent="0.25">
      <c r="A52" s="63" t="s">
        <v>208</v>
      </c>
      <c r="B52" s="63">
        <v>1</v>
      </c>
      <c r="C52" s="64" t="s">
        <v>149</v>
      </c>
      <c r="D52" s="51" t="s">
        <v>155</v>
      </c>
      <c r="E52" s="51">
        <v>280</v>
      </c>
      <c r="F52" s="51">
        <v>280</v>
      </c>
      <c r="G52" s="51">
        <v>0.24</v>
      </c>
      <c r="H52" s="51">
        <v>280</v>
      </c>
      <c r="I52" s="51" t="s">
        <v>151</v>
      </c>
      <c r="J52" s="51">
        <v>22</v>
      </c>
      <c r="K52" s="51">
        <v>55</v>
      </c>
      <c r="L52" s="51" t="s">
        <v>152</v>
      </c>
      <c r="M52" s="51">
        <v>180</v>
      </c>
      <c r="N52" s="51">
        <v>2.5</v>
      </c>
      <c r="O52" s="51">
        <v>18.47</v>
      </c>
      <c r="P52" s="51">
        <v>4.2300000000000004</v>
      </c>
      <c r="Q52" s="51">
        <v>23.12</v>
      </c>
      <c r="R52" s="51" t="s">
        <v>153</v>
      </c>
      <c r="S52" s="51" t="s">
        <v>138</v>
      </c>
      <c r="T52" s="51" t="s">
        <v>138</v>
      </c>
      <c r="U52" s="51" t="s">
        <v>138</v>
      </c>
      <c r="V52" s="51" t="s">
        <v>138</v>
      </c>
      <c r="W52" s="51" t="s">
        <v>138</v>
      </c>
      <c r="X52" s="51" t="s">
        <v>138</v>
      </c>
      <c r="Y52" s="51" t="s">
        <v>138</v>
      </c>
      <c r="Z52" s="51" t="s">
        <v>138</v>
      </c>
      <c r="AA52" s="51" t="s">
        <v>138</v>
      </c>
      <c r="AB52" s="51" t="s">
        <v>138</v>
      </c>
      <c r="AC52" s="51" t="s">
        <v>138</v>
      </c>
      <c r="AD52" s="51" t="s">
        <v>138</v>
      </c>
      <c r="AE52" s="51" t="s">
        <v>138</v>
      </c>
      <c r="AF52" s="51" t="s">
        <v>138</v>
      </c>
      <c r="AG52" s="51" t="s">
        <v>138</v>
      </c>
      <c r="AH52" s="51" t="s">
        <v>138</v>
      </c>
      <c r="AI52" s="65" t="s">
        <v>138</v>
      </c>
    </row>
    <row r="53" spans="1:35" ht="38.25" customHeight="1" x14ac:dyDescent="0.25">
      <c r="A53" s="63" t="s">
        <v>209</v>
      </c>
      <c r="B53" s="63">
        <v>1</v>
      </c>
      <c r="C53" s="64" t="s">
        <v>149</v>
      </c>
      <c r="D53" s="51" t="s">
        <v>157</v>
      </c>
      <c r="E53" s="51">
        <v>400</v>
      </c>
      <c r="F53" s="51">
        <v>400</v>
      </c>
      <c r="G53" s="51">
        <v>0.45</v>
      </c>
      <c r="H53" s="51">
        <v>400</v>
      </c>
      <c r="I53" s="51" t="s">
        <v>151</v>
      </c>
      <c r="J53" s="51">
        <v>22</v>
      </c>
      <c r="K53" s="51">
        <v>55</v>
      </c>
      <c r="L53" s="51" t="s">
        <v>152</v>
      </c>
      <c r="M53" s="51">
        <v>180</v>
      </c>
      <c r="N53" s="51">
        <v>2.5</v>
      </c>
      <c r="O53" s="51">
        <v>22.53</v>
      </c>
      <c r="P53" s="51">
        <v>4.25</v>
      </c>
      <c r="Q53" s="51">
        <v>28.19</v>
      </c>
      <c r="R53" s="51" t="s">
        <v>153</v>
      </c>
      <c r="S53" s="51" t="s">
        <v>138</v>
      </c>
      <c r="T53" s="51" t="s">
        <v>138</v>
      </c>
      <c r="U53" s="51" t="s">
        <v>138</v>
      </c>
      <c r="V53" s="51" t="s">
        <v>138</v>
      </c>
      <c r="W53" s="51" t="s">
        <v>138</v>
      </c>
      <c r="X53" s="51" t="s">
        <v>138</v>
      </c>
      <c r="Y53" s="51" t="s">
        <v>138</v>
      </c>
      <c r="Z53" s="51" t="s">
        <v>138</v>
      </c>
      <c r="AA53" s="51" t="s">
        <v>138</v>
      </c>
      <c r="AB53" s="51" t="s">
        <v>138</v>
      </c>
      <c r="AC53" s="51" t="s">
        <v>138</v>
      </c>
      <c r="AD53" s="51" t="s">
        <v>138</v>
      </c>
      <c r="AE53" s="51" t="s">
        <v>138</v>
      </c>
      <c r="AF53" s="51" t="s">
        <v>138</v>
      </c>
      <c r="AG53" s="51" t="s">
        <v>138</v>
      </c>
      <c r="AH53" s="51" t="s">
        <v>138</v>
      </c>
      <c r="AI53" s="65" t="s">
        <v>138</v>
      </c>
    </row>
    <row r="54" spans="1:35" ht="38.25" customHeight="1" x14ac:dyDescent="0.25">
      <c r="A54" s="63" t="s">
        <v>210</v>
      </c>
      <c r="B54" s="63">
        <v>1</v>
      </c>
      <c r="C54" s="64" t="s">
        <v>149</v>
      </c>
      <c r="D54" s="51" t="s">
        <v>159</v>
      </c>
      <c r="E54" s="51">
        <v>720</v>
      </c>
      <c r="F54" s="51">
        <v>720</v>
      </c>
      <c r="G54" s="51">
        <v>0.67</v>
      </c>
      <c r="H54" s="51">
        <v>720</v>
      </c>
      <c r="I54" s="51" t="s">
        <v>151</v>
      </c>
      <c r="J54" s="51">
        <v>24</v>
      </c>
      <c r="K54" s="51">
        <v>55</v>
      </c>
      <c r="L54" s="51" t="s">
        <v>152</v>
      </c>
      <c r="M54" s="51">
        <v>180</v>
      </c>
      <c r="N54" s="51">
        <v>12</v>
      </c>
      <c r="O54" s="51">
        <v>8.16</v>
      </c>
      <c r="P54" s="51">
        <v>9.48</v>
      </c>
      <c r="Q54" s="51">
        <v>49.05</v>
      </c>
      <c r="R54" s="51" t="s">
        <v>153</v>
      </c>
      <c r="S54" s="51" t="s">
        <v>138</v>
      </c>
      <c r="T54" s="51" t="s">
        <v>138</v>
      </c>
      <c r="U54" s="51" t="s">
        <v>138</v>
      </c>
      <c r="V54" s="51" t="s">
        <v>138</v>
      </c>
      <c r="W54" s="51" t="s">
        <v>138</v>
      </c>
      <c r="X54" s="51" t="s">
        <v>138</v>
      </c>
      <c r="Y54" s="51" t="s">
        <v>138</v>
      </c>
      <c r="Z54" s="51" t="s">
        <v>138</v>
      </c>
      <c r="AA54" s="51" t="s">
        <v>138</v>
      </c>
      <c r="AB54" s="51" t="s">
        <v>138</v>
      </c>
      <c r="AC54" s="51" t="s">
        <v>138</v>
      </c>
      <c r="AD54" s="51" t="s">
        <v>138</v>
      </c>
      <c r="AE54" s="51" t="s">
        <v>138</v>
      </c>
      <c r="AF54" s="51" t="s">
        <v>138</v>
      </c>
      <c r="AG54" s="51" t="s">
        <v>138</v>
      </c>
      <c r="AH54" s="51" t="s">
        <v>138</v>
      </c>
      <c r="AI54" s="65" t="s">
        <v>138</v>
      </c>
    </row>
    <row r="55" spans="1:35" ht="38.25" customHeight="1" x14ac:dyDescent="0.25">
      <c r="A55" s="63" t="s">
        <v>211</v>
      </c>
      <c r="B55" s="63">
        <v>1</v>
      </c>
      <c r="C55" s="64" t="s">
        <v>149</v>
      </c>
      <c r="D55" s="51" t="s">
        <v>161</v>
      </c>
      <c r="E55" s="51">
        <v>1120</v>
      </c>
      <c r="F55" s="51">
        <v>1120</v>
      </c>
      <c r="G55" s="51">
        <v>0.68</v>
      </c>
      <c r="H55" s="51">
        <v>1120</v>
      </c>
      <c r="I55" s="51" t="s">
        <v>151</v>
      </c>
      <c r="J55" s="51">
        <v>32</v>
      </c>
      <c r="K55" s="51">
        <v>55</v>
      </c>
      <c r="L55" s="51" t="s">
        <v>152</v>
      </c>
      <c r="M55" s="51">
        <v>180</v>
      </c>
      <c r="N55" s="51">
        <v>10</v>
      </c>
      <c r="O55" s="51">
        <v>14.85</v>
      </c>
      <c r="P55" s="51">
        <v>17.149999999999999</v>
      </c>
      <c r="Q55" s="51">
        <v>74.349999999999994</v>
      </c>
      <c r="R55" s="51" t="s">
        <v>153</v>
      </c>
      <c r="S55" s="51" t="s">
        <v>138</v>
      </c>
      <c r="T55" s="51" t="s">
        <v>138</v>
      </c>
      <c r="U55" s="51" t="s">
        <v>138</v>
      </c>
      <c r="V55" s="51" t="s">
        <v>138</v>
      </c>
      <c r="W55" s="51" t="s">
        <v>138</v>
      </c>
      <c r="X55" s="51" t="s">
        <v>138</v>
      </c>
      <c r="Y55" s="51" t="s">
        <v>138</v>
      </c>
      <c r="Z55" s="51" t="s">
        <v>138</v>
      </c>
      <c r="AA55" s="51" t="s">
        <v>138</v>
      </c>
      <c r="AB55" s="51" t="s">
        <v>138</v>
      </c>
      <c r="AC55" s="51" t="s">
        <v>138</v>
      </c>
      <c r="AD55" s="51" t="s">
        <v>138</v>
      </c>
      <c r="AE55" s="51" t="s">
        <v>138</v>
      </c>
      <c r="AF55" s="51" t="s">
        <v>138</v>
      </c>
      <c r="AG55" s="51" t="s">
        <v>138</v>
      </c>
      <c r="AH55" s="51" t="s">
        <v>138</v>
      </c>
      <c r="AI55" s="65" t="s">
        <v>138</v>
      </c>
    </row>
    <row r="56" spans="1:35" ht="38.25" customHeight="1" x14ac:dyDescent="0.25">
      <c r="A56" s="63" t="s">
        <v>212</v>
      </c>
      <c r="B56" s="63">
        <v>1</v>
      </c>
      <c r="C56" s="64" t="s">
        <v>149</v>
      </c>
      <c r="D56" s="51" t="s">
        <v>163</v>
      </c>
      <c r="E56" s="51">
        <v>1600</v>
      </c>
      <c r="F56" s="51">
        <v>1600</v>
      </c>
      <c r="G56" s="51">
        <v>0.69</v>
      </c>
      <c r="H56" s="51">
        <v>1600</v>
      </c>
      <c r="I56" s="51" t="s">
        <v>151</v>
      </c>
      <c r="J56" s="51">
        <v>41</v>
      </c>
      <c r="K56" s="51">
        <v>55</v>
      </c>
      <c r="L56" s="51" t="s">
        <v>152</v>
      </c>
      <c r="M56" s="51">
        <v>180</v>
      </c>
      <c r="N56" s="51">
        <v>14</v>
      </c>
      <c r="O56" s="51">
        <v>14.32</v>
      </c>
      <c r="P56" s="51">
        <v>11.08</v>
      </c>
      <c r="Q56" s="51">
        <v>100.4</v>
      </c>
      <c r="R56" s="51" t="s">
        <v>153</v>
      </c>
      <c r="S56" s="51" t="s">
        <v>138</v>
      </c>
      <c r="T56" s="51" t="s">
        <v>138</v>
      </c>
      <c r="U56" s="51" t="s">
        <v>138</v>
      </c>
      <c r="V56" s="51" t="s">
        <v>138</v>
      </c>
      <c r="W56" s="51" t="s">
        <v>138</v>
      </c>
      <c r="X56" s="51" t="s">
        <v>138</v>
      </c>
      <c r="Y56" s="51" t="s">
        <v>138</v>
      </c>
      <c r="Z56" s="51" t="s">
        <v>138</v>
      </c>
      <c r="AA56" s="51" t="s">
        <v>138</v>
      </c>
      <c r="AB56" s="51" t="s">
        <v>138</v>
      </c>
      <c r="AC56" s="51" t="s">
        <v>138</v>
      </c>
      <c r="AD56" s="51" t="s">
        <v>138</v>
      </c>
      <c r="AE56" s="51" t="s">
        <v>138</v>
      </c>
      <c r="AF56" s="51" t="s">
        <v>138</v>
      </c>
      <c r="AG56" s="51" t="s">
        <v>138</v>
      </c>
      <c r="AH56" s="51" t="s">
        <v>138</v>
      </c>
      <c r="AI56" s="65" t="s">
        <v>138</v>
      </c>
    </row>
    <row r="57" spans="1:35" ht="38.25" customHeight="1" x14ac:dyDescent="0.25">
      <c r="A57" s="63" t="s">
        <v>213</v>
      </c>
      <c r="B57" s="63">
        <v>1</v>
      </c>
      <c r="C57" s="64" t="s">
        <v>149</v>
      </c>
      <c r="D57" s="51" t="s">
        <v>165</v>
      </c>
      <c r="E57" s="51">
        <v>2400</v>
      </c>
      <c r="F57" s="51">
        <v>2400</v>
      </c>
      <c r="G57" s="51">
        <v>0.74</v>
      </c>
      <c r="H57" s="51">
        <v>2400</v>
      </c>
      <c r="I57" s="51" t="s">
        <v>151</v>
      </c>
      <c r="J57" s="51">
        <v>51</v>
      </c>
      <c r="K57" s="51">
        <v>55</v>
      </c>
      <c r="L57" s="51" t="s">
        <v>152</v>
      </c>
      <c r="M57" s="51">
        <v>180</v>
      </c>
      <c r="N57" s="51">
        <v>15</v>
      </c>
      <c r="O57" s="51">
        <v>20.010000000000002</v>
      </c>
      <c r="P57" s="51">
        <v>9.86</v>
      </c>
      <c r="Q57" s="51">
        <v>150.28</v>
      </c>
      <c r="R57" s="51" t="s">
        <v>153</v>
      </c>
      <c r="S57" s="51" t="s">
        <v>138</v>
      </c>
      <c r="T57" s="51" t="s">
        <v>138</v>
      </c>
      <c r="U57" s="51" t="s">
        <v>138</v>
      </c>
      <c r="V57" s="51" t="s">
        <v>138</v>
      </c>
      <c r="W57" s="51" t="s">
        <v>138</v>
      </c>
      <c r="X57" s="51" t="s">
        <v>138</v>
      </c>
      <c r="Y57" s="51" t="s">
        <v>138</v>
      </c>
      <c r="Z57" s="51" t="s">
        <v>138</v>
      </c>
      <c r="AA57" s="51" t="s">
        <v>138</v>
      </c>
      <c r="AB57" s="51" t="s">
        <v>138</v>
      </c>
      <c r="AC57" s="51" t="s">
        <v>138</v>
      </c>
      <c r="AD57" s="51" t="s">
        <v>138</v>
      </c>
      <c r="AE57" s="51" t="s">
        <v>138</v>
      </c>
      <c r="AF57" s="51" t="s">
        <v>138</v>
      </c>
      <c r="AG57" s="51" t="s">
        <v>138</v>
      </c>
      <c r="AH57" s="51" t="s">
        <v>138</v>
      </c>
      <c r="AI57" s="65" t="s">
        <v>138</v>
      </c>
    </row>
    <row r="58" spans="1:35" ht="38.25" customHeight="1" x14ac:dyDescent="0.25">
      <c r="A58" s="63" t="s">
        <v>214</v>
      </c>
      <c r="B58" s="63">
        <v>1</v>
      </c>
      <c r="C58" s="64" t="s">
        <v>149</v>
      </c>
      <c r="D58" s="51" t="s">
        <v>167</v>
      </c>
      <c r="E58" s="51">
        <v>3200</v>
      </c>
      <c r="F58" s="51">
        <v>3200</v>
      </c>
      <c r="G58" s="51">
        <v>0.88</v>
      </c>
      <c r="H58" s="51">
        <v>3200</v>
      </c>
      <c r="I58" s="51" t="s">
        <v>151</v>
      </c>
      <c r="J58" s="51">
        <v>56</v>
      </c>
      <c r="K58" s="51">
        <v>55</v>
      </c>
      <c r="L58" s="51" t="s">
        <v>152</v>
      </c>
      <c r="M58" s="51">
        <v>180</v>
      </c>
      <c r="N58" s="51">
        <v>17</v>
      </c>
      <c r="O58" s="51">
        <v>22.43</v>
      </c>
      <c r="P58" s="51">
        <v>13.25</v>
      </c>
      <c r="Q58" s="51">
        <v>190.86</v>
      </c>
      <c r="R58" s="51" t="s">
        <v>153</v>
      </c>
      <c r="S58" s="51" t="s">
        <v>138</v>
      </c>
      <c r="T58" s="51" t="s">
        <v>138</v>
      </c>
      <c r="U58" s="51" t="s">
        <v>138</v>
      </c>
      <c r="V58" s="51" t="s">
        <v>138</v>
      </c>
      <c r="W58" s="51" t="s">
        <v>138</v>
      </c>
      <c r="X58" s="51" t="s">
        <v>138</v>
      </c>
      <c r="Y58" s="51" t="s">
        <v>138</v>
      </c>
      <c r="Z58" s="51" t="s">
        <v>138</v>
      </c>
      <c r="AA58" s="51" t="s">
        <v>138</v>
      </c>
      <c r="AB58" s="51" t="s">
        <v>138</v>
      </c>
      <c r="AC58" s="51" t="s">
        <v>138</v>
      </c>
      <c r="AD58" s="51" t="s">
        <v>138</v>
      </c>
      <c r="AE58" s="51" t="s">
        <v>138</v>
      </c>
      <c r="AF58" s="51" t="s">
        <v>138</v>
      </c>
      <c r="AG58" s="51" t="s">
        <v>138</v>
      </c>
      <c r="AH58" s="51" t="s">
        <v>138</v>
      </c>
      <c r="AI58" s="65" t="s">
        <v>138</v>
      </c>
    </row>
    <row r="59" spans="1:35" ht="38.25" customHeight="1" x14ac:dyDescent="0.25">
      <c r="A59" s="63" t="s">
        <v>215</v>
      </c>
      <c r="B59" s="63">
        <v>1</v>
      </c>
      <c r="C59" s="64" t="s">
        <v>149</v>
      </c>
      <c r="D59" s="51" t="s">
        <v>169</v>
      </c>
      <c r="E59" s="51">
        <v>5000</v>
      </c>
      <c r="F59" s="51">
        <v>5000</v>
      </c>
      <c r="G59" s="51">
        <v>1.46</v>
      </c>
      <c r="H59" s="51">
        <v>5000</v>
      </c>
      <c r="I59" s="51" t="s">
        <v>151</v>
      </c>
      <c r="J59" s="51">
        <v>76</v>
      </c>
      <c r="K59" s="51">
        <v>55</v>
      </c>
      <c r="L59" s="51" t="s">
        <v>152</v>
      </c>
      <c r="M59" s="51">
        <v>180</v>
      </c>
      <c r="N59" s="51">
        <v>17</v>
      </c>
      <c r="O59" s="51">
        <v>29.24</v>
      </c>
      <c r="P59" s="51">
        <v>14.01</v>
      </c>
      <c r="Q59" s="51">
        <v>248.74</v>
      </c>
      <c r="R59" s="51" t="s">
        <v>153</v>
      </c>
      <c r="S59" s="51" t="s">
        <v>138</v>
      </c>
      <c r="T59" s="51" t="s">
        <v>138</v>
      </c>
      <c r="U59" s="51" t="s">
        <v>138</v>
      </c>
      <c r="V59" s="51" t="s">
        <v>138</v>
      </c>
      <c r="W59" s="51" t="s">
        <v>138</v>
      </c>
      <c r="X59" s="51" t="s">
        <v>138</v>
      </c>
      <c r="Y59" s="51" t="s">
        <v>138</v>
      </c>
      <c r="Z59" s="51" t="s">
        <v>138</v>
      </c>
      <c r="AA59" s="51" t="s">
        <v>138</v>
      </c>
      <c r="AB59" s="51" t="s">
        <v>138</v>
      </c>
      <c r="AC59" s="51" t="s">
        <v>138</v>
      </c>
      <c r="AD59" s="51" t="s">
        <v>138</v>
      </c>
      <c r="AE59" s="51" t="s">
        <v>138</v>
      </c>
      <c r="AF59" s="51" t="s">
        <v>138</v>
      </c>
      <c r="AG59" s="51" t="s">
        <v>138</v>
      </c>
      <c r="AH59" s="51" t="s">
        <v>138</v>
      </c>
      <c r="AI59" s="65" t="s">
        <v>138</v>
      </c>
    </row>
    <row r="60" spans="1:35" ht="38.25" customHeight="1" x14ac:dyDescent="0.25">
      <c r="A60" s="63" t="s">
        <v>216</v>
      </c>
      <c r="B60" s="63">
        <v>1</v>
      </c>
      <c r="C60" s="64" t="s">
        <v>149</v>
      </c>
      <c r="D60" s="51" t="s">
        <v>150</v>
      </c>
      <c r="E60" s="51">
        <v>180</v>
      </c>
      <c r="F60" s="51">
        <v>180</v>
      </c>
      <c r="G60" s="51">
        <v>0.14000000000000001</v>
      </c>
      <c r="H60" s="51">
        <v>180</v>
      </c>
      <c r="I60" s="51" t="s">
        <v>151</v>
      </c>
      <c r="J60" s="51">
        <v>24</v>
      </c>
      <c r="K60" s="51">
        <v>55</v>
      </c>
      <c r="L60" s="51" t="s">
        <v>152</v>
      </c>
      <c r="M60" s="51">
        <v>180</v>
      </c>
      <c r="N60" s="51">
        <v>0.5</v>
      </c>
      <c r="O60" s="51">
        <v>59.94</v>
      </c>
      <c r="P60" s="51">
        <v>0.33</v>
      </c>
      <c r="Q60" s="51">
        <v>14.98</v>
      </c>
      <c r="R60" s="51" t="s">
        <v>180</v>
      </c>
      <c r="S60" s="51" t="s">
        <v>138</v>
      </c>
      <c r="T60" s="51" t="s">
        <v>138</v>
      </c>
      <c r="U60" s="51" t="s">
        <v>138</v>
      </c>
      <c r="V60" s="51" t="s">
        <v>138</v>
      </c>
      <c r="W60" s="51" t="s">
        <v>138</v>
      </c>
      <c r="X60" s="51" t="s">
        <v>138</v>
      </c>
      <c r="Y60" s="51" t="s">
        <v>138</v>
      </c>
      <c r="Z60" s="51" t="s">
        <v>138</v>
      </c>
      <c r="AA60" s="51" t="s">
        <v>138</v>
      </c>
      <c r="AB60" s="51" t="s">
        <v>138</v>
      </c>
      <c r="AC60" s="51" t="s">
        <v>138</v>
      </c>
      <c r="AD60" s="51" t="s">
        <v>138</v>
      </c>
      <c r="AE60" s="51" t="s">
        <v>138</v>
      </c>
      <c r="AF60" s="51" t="s">
        <v>138</v>
      </c>
      <c r="AG60" s="51" t="s">
        <v>138</v>
      </c>
      <c r="AH60" s="51" t="s">
        <v>138</v>
      </c>
      <c r="AI60" s="65" t="s">
        <v>138</v>
      </c>
    </row>
    <row r="61" spans="1:35" ht="38.25" customHeight="1" x14ac:dyDescent="0.25">
      <c r="A61" s="63" t="s">
        <v>217</v>
      </c>
      <c r="B61" s="63">
        <v>1</v>
      </c>
      <c r="C61" s="64" t="s">
        <v>149</v>
      </c>
      <c r="D61" s="51" t="s">
        <v>155</v>
      </c>
      <c r="E61" s="51">
        <v>280</v>
      </c>
      <c r="F61" s="51">
        <v>280</v>
      </c>
      <c r="G61" s="51">
        <v>0.32</v>
      </c>
      <c r="H61" s="51">
        <v>280</v>
      </c>
      <c r="I61" s="51" t="s">
        <v>151</v>
      </c>
      <c r="J61" s="51">
        <v>24</v>
      </c>
      <c r="K61" s="51">
        <v>55</v>
      </c>
      <c r="L61" s="51" t="s">
        <v>152</v>
      </c>
      <c r="M61" s="51">
        <v>180</v>
      </c>
      <c r="N61" s="51">
        <v>0.5</v>
      </c>
      <c r="O61" s="51">
        <v>71.69</v>
      </c>
      <c r="P61" s="51">
        <v>0.33</v>
      </c>
      <c r="Q61" s="51">
        <v>17.899999999999999</v>
      </c>
      <c r="R61" s="51" t="s">
        <v>180</v>
      </c>
      <c r="S61" s="51" t="s">
        <v>138</v>
      </c>
      <c r="T61" s="51" t="s">
        <v>138</v>
      </c>
      <c r="U61" s="51" t="s">
        <v>138</v>
      </c>
      <c r="V61" s="51" t="s">
        <v>138</v>
      </c>
      <c r="W61" s="51" t="s">
        <v>138</v>
      </c>
      <c r="X61" s="51" t="s">
        <v>138</v>
      </c>
      <c r="Y61" s="51" t="s">
        <v>138</v>
      </c>
      <c r="Z61" s="51" t="s">
        <v>138</v>
      </c>
      <c r="AA61" s="51" t="s">
        <v>138</v>
      </c>
      <c r="AB61" s="51" t="s">
        <v>138</v>
      </c>
      <c r="AC61" s="51" t="s">
        <v>138</v>
      </c>
      <c r="AD61" s="51" t="s">
        <v>138</v>
      </c>
      <c r="AE61" s="51" t="s">
        <v>138</v>
      </c>
      <c r="AF61" s="51" t="s">
        <v>138</v>
      </c>
      <c r="AG61" s="51" t="s">
        <v>138</v>
      </c>
      <c r="AH61" s="51" t="s">
        <v>138</v>
      </c>
      <c r="AI61" s="65" t="s">
        <v>138</v>
      </c>
    </row>
    <row r="62" spans="1:35" ht="38.25" customHeight="1" x14ac:dyDescent="0.25">
      <c r="A62" s="63" t="s">
        <v>218</v>
      </c>
      <c r="B62" s="63">
        <v>1</v>
      </c>
      <c r="C62" s="64" t="s">
        <v>149</v>
      </c>
      <c r="D62" s="51" t="s">
        <v>157</v>
      </c>
      <c r="E62" s="51">
        <v>400</v>
      </c>
      <c r="F62" s="51">
        <v>400</v>
      </c>
      <c r="G62" s="51">
        <v>0.59</v>
      </c>
      <c r="H62" s="51">
        <v>400</v>
      </c>
      <c r="I62" s="51" t="s">
        <v>151</v>
      </c>
      <c r="J62" s="51">
        <v>24</v>
      </c>
      <c r="K62" s="51">
        <v>55</v>
      </c>
      <c r="L62" s="51" t="s">
        <v>152</v>
      </c>
      <c r="M62" s="51">
        <v>180</v>
      </c>
      <c r="N62" s="51">
        <v>1</v>
      </c>
      <c r="O62" s="51">
        <v>54.38</v>
      </c>
      <c r="P62" s="51">
        <v>1.1100000000000001</v>
      </c>
      <c r="Q62" s="51">
        <v>27.18</v>
      </c>
      <c r="R62" s="51" t="s">
        <v>180</v>
      </c>
      <c r="S62" s="51" t="s">
        <v>138</v>
      </c>
      <c r="T62" s="51" t="s">
        <v>138</v>
      </c>
      <c r="U62" s="51" t="s">
        <v>138</v>
      </c>
      <c r="V62" s="51" t="s">
        <v>138</v>
      </c>
      <c r="W62" s="51" t="s">
        <v>138</v>
      </c>
      <c r="X62" s="51" t="s">
        <v>138</v>
      </c>
      <c r="Y62" s="51" t="s">
        <v>138</v>
      </c>
      <c r="Z62" s="51" t="s">
        <v>138</v>
      </c>
      <c r="AA62" s="51" t="s">
        <v>138</v>
      </c>
      <c r="AB62" s="51" t="s">
        <v>138</v>
      </c>
      <c r="AC62" s="51" t="s">
        <v>138</v>
      </c>
      <c r="AD62" s="51" t="s">
        <v>138</v>
      </c>
      <c r="AE62" s="51" t="s">
        <v>138</v>
      </c>
      <c r="AF62" s="51" t="s">
        <v>138</v>
      </c>
      <c r="AG62" s="51" t="s">
        <v>138</v>
      </c>
      <c r="AH62" s="51" t="s">
        <v>138</v>
      </c>
      <c r="AI62" s="65" t="s">
        <v>138</v>
      </c>
    </row>
    <row r="63" spans="1:35" ht="38.25" customHeight="1" x14ac:dyDescent="0.25">
      <c r="A63" s="63" t="s">
        <v>219</v>
      </c>
      <c r="B63" s="63">
        <v>1</v>
      </c>
      <c r="C63" s="64" t="s">
        <v>149</v>
      </c>
      <c r="D63" s="51" t="s">
        <v>159</v>
      </c>
      <c r="E63" s="51">
        <v>720</v>
      </c>
      <c r="F63" s="51">
        <v>720</v>
      </c>
      <c r="G63" s="51">
        <v>0.88</v>
      </c>
      <c r="H63" s="51">
        <v>720</v>
      </c>
      <c r="I63" s="51" t="s">
        <v>151</v>
      </c>
      <c r="J63" s="51">
        <v>26</v>
      </c>
      <c r="K63" s="51">
        <v>55</v>
      </c>
      <c r="L63" s="51" t="s">
        <v>152</v>
      </c>
      <c r="M63" s="51">
        <v>180</v>
      </c>
      <c r="N63" s="51">
        <v>2.5</v>
      </c>
      <c r="O63" s="51">
        <v>37.270000000000003</v>
      </c>
      <c r="P63" s="51">
        <v>0.67</v>
      </c>
      <c r="Q63" s="51">
        <v>46.61</v>
      </c>
      <c r="R63" s="51" t="s">
        <v>180</v>
      </c>
      <c r="S63" s="51" t="s">
        <v>138</v>
      </c>
      <c r="T63" s="51" t="s">
        <v>138</v>
      </c>
      <c r="U63" s="51" t="s">
        <v>138</v>
      </c>
      <c r="V63" s="51" t="s">
        <v>138</v>
      </c>
      <c r="W63" s="51" t="s">
        <v>138</v>
      </c>
      <c r="X63" s="51" t="s">
        <v>138</v>
      </c>
      <c r="Y63" s="51" t="s">
        <v>138</v>
      </c>
      <c r="Z63" s="51" t="s">
        <v>138</v>
      </c>
      <c r="AA63" s="51" t="s">
        <v>138</v>
      </c>
      <c r="AB63" s="51" t="s">
        <v>138</v>
      </c>
      <c r="AC63" s="51" t="s">
        <v>138</v>
      </c>
      <c r="AD63" s="51" t="s">
        <v>138</v>
      </c>
      <c r="AE63" s="51" t="s">
        <v>138</v>
      </c>
      <c r="AF63" s="51" t="s">
        <v>138</v>
      </c>
      <c r="AG63" s="51" t="s">
        <v>138</v>
      </c>
      <c r="AH63" s="51" t="s">
        <v>138</v>
      </c>
      <c r="AI63" s="65" t="s">
        <v>138</v>
      </c>
    </row>
    <row r="64" spans="1:35" ht="38.25" customHeight="1" x14ac:dyDescent="0.25">
      <c r="A64" s="63" t="s">
        <v>220</v>
      </c>
      <c r="B64" s="63">
        <v>1</v>
      </c>
      <c r="C64" s="64" t="s">
        <v>149</v>
      </c>
      <c r="D64" s="51" t="s">
        <v>161</v>
      </c>
      <c r="E64" s="51">
        <v>1120</v>
      </c>
      <c r="F64" s="51">
        <v>1120</v>
      </c>
      <c r="G64" s="51">
        <v>0.9</v>
      </c>
      <c r="H64" s="51">
        <v>1120</v>
      </c>
      <c r="I64" s="51" t="s">
        <v>151</v>
      </c>
      <c r="J64" s="51">
        <v>36</v>
      </c>
      <c r="K64" s="51">
        <v>55</v>
      </c>
      <c r="L64" s="51" t="s">
        <v>152</v>
      </c>
      <c r="M64" s="51">
        <v>180</v>
      </c>
      <c r="N64" s="51">
        <v>2.5</v>
      </c>
      <c r="O64" s="51">
        <v>54.67</v>
      </c>
      <c r="P64" s="51">
        <v>1.79</v>
      </c>
      <c r="Q64" s="51">
        <v>68.319999999999993</v>
      </c>
      <c r="R64" s="51" t="s">
        <v>180</v>
      </c>
      <c r="S64" s="51" t="s">
        <v>138</v>
      </c>
      <c r="T64" s="51" t="s">
        <v>138</v>
      </c>
      <c r="U64" s="51" t="s">
        <v>138</v>
      </c>
      <c r="V64" s="51" t="s">
        <v>138</v>
      </c>
      <c r="W64" s="51" t="s">
        <v>138</v>
      </c>
      <c r="X64" s="51" t="s">
        <v>138</v>
      </c>
      <c r="Y64" s="51" t="s">
        <v>138</v>
      </c>
      <c r="Z64" s="51" t="s">
        <v>138</v>
      </c>
      <c r="AA64" s="51" t="s">
        <v>138</v>
      </c>
      <c r="AB64" s="51" t="s">
        <v>138</v>
      </c>
      <c r="AC64" s="51" t="s">
        <v>138</v>
      </c>
      <c r="AD64" s="51" t="s">
        <v>138</v>
      </c>
      <c r="AE64" s="51" t="s">
        <v>138</v>
      </c>
      <c r="AF64" s="51" t="s">
        <v>138</v>
      </c>
      <c r="AG64" s="51" t="s">
        <v>138</v>
      </c>
      <c r="AH64" s="51" t="s">
        <v>138</v>
      </c>
      <c r="AI64" s="65" t="s">
        <v>138</v>
      </c>
    </row>
    <row r="65" spans="1:35" ht="38.25" customHeight="1" x14ac:dyDescent="0.25">
      <c r="A65" s="63" t="s">
        <v>221</v>
      </c>
      <c r="B65" s="63">
        <v>1</v>
      </c>
      <c r="C65" s="64" t="s">
        <v>149</v>
      </c>
      <c r="D65" s="51" t="s">
        <v>163</v>
      </c>
      <c r="E65" s="51">
        <v>1600</v>
      </c>
      <c r="F65" s="51">
        <v>1600</v>
      </c>
      <c r="G65" s="51">
        <v>0.91</v>
      </c>
      <c r="H65" s="51">
        <v>1600</v>
      </c>
      <c r="I65" s="51" t="s">
        <v>151</v>
      </c>
      <c r="J65" s="51">
        <v>45</v>
      </c>
      <c r="K65" s="51">
        <v>55</v>
      </c>
      <c r="L65" s="51" t="s">
        <v>152</v>
      </c>
      <c r="M65" s="51">
        <v>180</v>
      </c>
      <c r="N65" s="51">
        <v>3.5</v>
      </c>
      <c r="O65" s="51">
        <v>54.16</v>
      </c>
      <c r="P65" s="51">
        <v>1.02</v>
      </c>
      <c r="Q65" s="51">
        <v>94.76</v>
      </c>
      <c r="R65" s="51" t="s">
        <v>180</v>
      </c>
      <c r="S65" s="51" t="s">
        <v>138</v>
      </c>
      <c r="T65" s="51" t="s">
        <v>138</v>
      </c>
      <c r="U65" s="51" t="s">
        <v>138</v>
      </c>
      <c r="V65" s="51" t="s">
        <v>138</v>
      </c>
      <c r="W65" s="51" t="s">
        <v>138</v>
      </c>
      <c r="X65" s="51" t="s">
        <v>138</v>
      </c>
      <c r="Y65" s="51" t="s">
        <v>138</v>
      </c>
      <c r="Z65" s="51" t="s">
        <v>138</v>
      </c>
      <c r="AA65" s="51" t="s">
        <v>138</v>
      </c>
      <c r="AB65" s="51" t="s">
        <v>138</v>
      </c>
      <c r="AC65" s="51" t="s">
        <v>138</v>
      </c>
      <c r="AD65" s="51" t="s">
        <v>138</v>
      </c>
      <c r="AE65" s="51" t="s">
        <v>138</v>
      </c>
      <c r="AF65" s="51" t="s">
        <v>138</v>
      </c>
      <c r="AG65" s="51" t="s">
        <v>138</v>
      </c>
      <c r="AH65" s="51" t="s">
        <v>138</v>
      </c>
      <c r="AI65" s="65" t="s">
        <v>138</v>
      </c>
    </row>
    <row r="66" spans="1:35" ht="38.25" customHeight="1" x14ac:dyDescent="0.25">
      <c r="A66" s="63" t="s">
        <v>222</v>
      </c>
      <c r="B66" s="63">
        <v>1</v>
      </c>
      <c r="C66" s="64" t="s">
        <v>149</v>
      </c>
      <c r="D66" s="51" t="s">
        <v>165</v>
      </c>
      <c r="E66" s="51">
        <v>2400</v>
      </c>
      <c r="F66" s="51">
        <v>2400</v>
      </c>
      <c r="G66" s="51">
        <v>0.96</v>
      </c>
      <c r="H66" s="51">
        <v>2400</v>
      </c>
      <c r="I66" s="51" t="s">
        <v>151</v>
      </c>
      <c r="J66" s="51">
        <v>55</v>
      </c>
      <c r="K66" s="51">
        <v>55</v>
      </c>
      <c r="L66" s="51" t="s">
        <v>152</v>
      </c>
      <c r="M66" s="51">
        <v>180</v>
      </c>
      <c r="N66" s="51">
        <v>5</v>
      </c>
      <c r="O66" s="51">
        <v>56</v>
      </c>
      <c r="P66" s="51">
        <v>1.48</v>
      </c>
      <c r="Q66" s="51">
        <v>139.94999999999999</v>
      </c>
      <c r="R66" s="51" t="s">
        <v>180</v>
      </c>
      <c r="S66" s="51" t="s">
        <v>138</v>
      </c>
      <c r="T66" s="51" t="s">
        <v>138</v>
      </c>
      <c r="U66" s="51" t="s">
        <v>138</v>
      </c>
      <c r="V66" s="51" t="s">
        <v>138</v>
      </c>
      <c r="W66" s="51" t="s">
        <v>138</v>
      </c>
      <c r="X66" s="51" t="s">
        <v>138</v>
      </c>
      <c r="Y66" s="51" t="s">
        <v>138</v>
      </c>
      <c r="Z66" s="51" t="s">
        <v>138</v>
      </c>
      <c r="AA66" s="51" t="s">
        <v>138</v>
      </c>
      <c r="AB66" s="51" t="s">
        <v>138</v>
      </c>
      <c r="AC66" s="51" t="s">
        <v>138</v>
      </c>
      <c r="AD66" s="51" t="s">
        <v>138</v>
      </c>
      <c r="AE66" s="51" t="s">
        <v>138</v>
      </c>
      <c r="AF66" s="51" t="s">
        <v>138</v>
      </c>
      <c r="AG66" s="51" t="s">
        <v>138</v>
      </c>
      <c r="AH66" s="51" t="s">
        <v>138</v>
      </c>
      <c r="AI66" s="65" t="s">
        <v>138</v>
      </c>
    </row>
    <row r="67" spans="1:35" ht="38.25" customHeight="1" x14ac:dyDescent="0.25">
      <c r="A67" s="63" t="s">
        <v>223</v>
      </c>
      <c r="B67" s="63">
        <v>1</v>
      </c>
      <c r="C67" s="64" t="s">
        <v>149</v>
      </c>
      <c r="D67" s="51" t="s">
        <v>167</v>
      </c>
      <c r="E67" s="51">
        <v>3200</v>
      </c>
      <c r="F67" s="51">
        <v>3200</v>
      </c>
      <c r="G67" s="51">
        <v>1.17</v>
      </c>
      <c r="H67" s="51">
        <v>3200</v>
      </c>
      <c r="I67" s="51" t="s">
        <v>151</v>
      </c>
      <c r="J67" s="51">
        <v>61</v>
      </c>
      <c r="K67" s="51">
        <v>55</v>
      </c>
      <c r="L67" s="51" t="s">
        <v>152</v>
      </c>
      <c r="M67" s="51">
        <v>180</v>
      </c>
      <c r="N67" s="51">
        <v>5</v>
      </c>
      <c r="O67" s="51">
        <v>66.52</v>
      </c>
      <c r="P67" s="51">
        <v>1.6</v>
      </c>
      <c r="Q67" s="51">
        <v>166.16</v>
      </c>
      <c r="R67" s="51" t="s">
        <v>180</v>
      </c>
      <c r="S67" s="51" t="s">
        <v>138</v>
      </c>
      <c r="T67" s="51" t="s">
        <v>138</v>
      </c>
      <c r="U67" s="51" t="s">
        <v>138</v>
      </c>
      <c r="V67" s="51" t="s">
        <v>138</v>
      </c>
      <c r="W67" s="51" t="s">
        <v>138</v>
      </c>
      <c r="X67" s="51" t="s">
        <v>138</v>
      </c>
      <c r="Y67" s="51" t="s">
        <v>138</v>
      </c>
      <c r="Z67" s="51" t="s">
        <v>138</v>
      </c>
      <c r="AA67" s="51" t="s">
        <v>138</v>
      </c>
      <c r="AB67" s="51" t="s">
        <v>138</v>
      </c>
      <c r="AC67" s="51" t="s">
        <v>138</v>
      </c>
      <c r="AD67" s="51" t="s">
        <v>138</v>
      </c>
      <c r="AE67" s="51" t="s">
        <v>138</v>
      </c>
      <c r="AF67" s="51" t="s">
        <v>138</v>
      </c>
      <c r="AG67" s="51" t="s">
        <v>138</v>
      </c>
      <c r="AH67" s="51" t="s">
        <v>138</v>
      </c>
      <c r="AI67" s="65" t="s">
        <v>138</v>
      </c>
    </row>
    <row r="68" spans="1:35" ht="38.25" customHeight="1" x14ac:dyDescent="0.25">
      <c r="A68" s="63" t="s">
        <v>224</v>
      </c>
      <c r="B68" s="63">
        <v>1</v>
      </c>
      <c r="C68" s="64" t="s">
        <v>149</v>
      </c>
      <c r="D68" s="51" t="s">
        <v>169</v>
      </c>
      <c r="E68" s="51">
        <v>5000</v>
      </c>
      <c r="F68" s="51">
        <v>5000</v>
      </c>
      <c r="G68" s="51">
        <v>1.46</v>
      </c>
      <c r="H68" s="51">
        <v>5000</v>
      </c>
      <c r="I68" s="51" t="s">
        <v>151</v>
      </c>
      <c r="J68" s="51">
        <v>76</v>
      </c>
      <c r="K68" s="51">
        <v>55</v>
      </c>
      <c r="L68" s="51" t="s">
        <v>152</v>
      </c>
      <c r="M68" s="51">
        <v>180</v>
      </c>
      <c r="N68" s="51">
        <v>5</v>
      </c>
      <c r="O68" s="51">
        <v>68.34</v>
      </c>
      <c r="P68" s="51">
        <v>1.44</v>
      </c>
      <c r="Q68" s="51">
        <v>170.71</v>
      </c>
      <c r="R68" s="51" t="s">
        <v>153</v>
      </c>
      <c r="S68" s="51" t="s">
        <v>138</v>
      </c>
      <c r="T68" s="51" t="s">
        <v>138</v>
      </c>
      <c r="U68" s="51" t="s">
        <v>138</v>
      </c>
      <c r="V68" s="51" t="s">
        <v>138</v>
      </c>
      <c r="W68" s="51" t="s">
        <v>138</v>
      </c>
      <c r="X68" s="51" t="s">
        <v>138</v>
      </c>
      <c r="Y68" s="51" t="s">
        <v>138</v>
      </c>
      <c r="Z68" s="51" t="s">
        <v>138</v>
      </c>
      <c r="AA68" s="51" t="s">
        <v>138</v>
      </c>
      <c r="AB68" s="51" t="s">
        <v>138</v>
      </c>
      <c r="AC68" s="51" t="s">
        <v>138</v>
      </c>
      <c r="AD68" s="51" t="s">
        <v>138</v>
      </c>
      <c r="AE68" s="51" t="s">
        <v>138</v>
      </c>
      <c r="AF68" s="51" t="s">
        <v>138</v>
      </c>
      <c r="AG68" s="51" t="s">
        <v>138</v>
      </c>
      <c r="AH68" s="51" t="s">
        <v>138</v>
      </c>
      <c r="AI68" s="65" t="s">
        <v>138</v>
      </c>
    </row>
    <row r="69" spans="1:35" ht="38.25" customHeight="1" x14ac:dyDescent="0.25">
      <c r="A69" s="63" t="s">
        <v>225</v>
      </c>
      <c r="B69" s="63">
        <v>1</v>
      </c>
      <c r="C69" s="64" t="s">
        <v>149</v>
      </c>
      <c r="D69" s="51" t="s">
        <v>150</v>
      </c>
      <c r="E69" s="51">
        <v>180</v>
      </c>
      <c r="F69" s="51">
        <v>180</v>
      </c>
      <c r="G69" s="51">
        <v>0.14000000000000001</v>
      </c>
      <c r="H69" s="51">
        <v>180</v>
      </c>
      <c r="I69" s="51" t="s">
        <v>151</v>
      </c>
      <c r="J69" s="51">
        <v>24</v>
      </c>
      <c r="K69" s="51">
        <v>55</v>
      </c>
      <c r="L69" s="51" t="s">
        <v>152</v>
      </c>
      <c r="M69" s="51">
        <v>180</v>
      </c>
      <c r="N69" s="51">
        <v>2.5</v>
      </c>
      <c r="O69" s="51">
        <v>15.69</v>
      </c>
      <c r="P69" s="51">
        <v>5.5</v>
      </c>
      <c r="Q69" s="51">
        <v>19.649999999999999</v>
      </c>
      <c r="R69" s="51" t="s">
        <v>180</v>
      </c>
      <c r="S69" s="51" t="s">
        <v>138</v>
      </c>
      <c r="T69" s="51" t="s">
        <v>138</v>
      </c>
      <c r="U69" s="51" t="s">
        <v>138</v>
      </c>
      <c r="V69" s="51" t="s">
        <v>138</v>
      </c>
      <c r="W69" s="51" t="s">
        <v>138</v>
      </c>
      <c r="X69" s="51" t="s">
        <v>138</v>
      </c>
      <c r="Y69" s="51" t="s">
        <v>138</v>
      </c>
      <c r="Z69" s="51" t="s">
        <v>138</v>
      </c>
      <c r="AA69" s="51" t="s">
        <v>138</v>
      </c>
      <c r="AB69" s="51" t="s">
        <v>138</v>
      </c>
      <c r="AC69" s="51" t="s">
        <v>138</v>
      </c>
      <c r="AD69" s="51" t="s">
        <v>138</v>
      </c>
      <c r="AE69" s="51" t="s">
        <v>138</v>
      </c>
      <c r="AF69" s="51" t="s">
        <v>138</v>
      </c>
      <c r="AG69" s="51" t="s">
        <v>138</v>
      </c>
      <c r="AH69" s="51" t="s">
        <v>138</v>
      </c>
      <c r="AI69" s="65" t="s">
        <v>138</v>
      </c>
    </row>
    <row r="70" spans="1:35" ht="38.25" customHeight="1" x14ac:dyDescent="0.25">
      <c r="A70" s="63" t="s">
        <v>226</v>
      </c>
      <c r="B70" s="63">
        <v>1</v>
      </c>
      <c r="C70" s="64" t="s">
        <v>149</v>
      </c>
      <c r="D70" s="51" t="s">
        <v>155</v>
      </c>
      <c r="E70" s="51">
        <v>280</v>
      </c>
      <c r="F70" s="51">
        <v>280</v>
      </c>
      <c r="G70" s="51">
        <v>0.32</v>
      </c>
      <c r="H70" s="51">
        <v>280</v>
      </c>
      <c r="I70" s="51" t="s">
        <v>151</v>
      </c>
      <c r="J70" s="51">
        <v>24</v>
      </c>
      <c r="K70" s="51">
        <v>55</v>
      </c>
      <c r="L70" s="51" t="s">
        <v>152</v>
      </c>
      <c r="M70" s="51">
        <v>180</v>
      </c>
      <c r="N70" s="51">
        <v>2.5</v>
      </c>
      <c r="O70" s="51">
        <v>21.44</v>
      </c>
      <c r="P70" s="51">
        <v>5.52</v>
      </c>
      <c r="Q70" s="51">
        <v>26.83</v>
      </c>
      <c r="R70" s="51" t="s">
        <v>180</v>
      </c>
      <c r="S70" s="51" t="s">
        <v>138</v>
      </c>
      <c r="T70" s="51" t="s">
        <v>138</v>
      </c>
      <c r="U70" s="51" t="s">
        <v>138</v>
      </c>
      <c r="V70" s="51" t="s">
        <v>138</v>
      </c>
      <c r="W70" s="51" t="s">
        <v>138</v>
      </c>
      <c r="X70" s="51" t="s">
        <v>138</v>
      </c>
      <c r="Y70" s="51" t="s">
        <v>138</v>
      </c>
      <c r="Z70" s="51" t="s">
        <v>138</v>
      </c>
      <c r="AA70" s="51" t="s">
        <v>138</v>
      </c>
      <c r="AB70" s="51" t="s">
        <v>138</v>
      </c>
      <c r="AC70" s="51" t="s">
        <v>138</v>
      </c>
      <c r="AD70" s="51" t="s">
        <v>138</v>
      </c>
      <c r="AE70" s="51" t="s">
        <v>138</v>
      </c>
      <c r="AF70" s="51" t="s">
        <v>138</v>
      </c>
      <c r="AG70" s="51" t="s">
        <v>138</v>
      </c>
      <c r="AH70" s="51" t="s">
        <v>138</v>
      </c>
      <c r="AI70" s="65" t="s">
        <v>138</v>
      </c>
    </row>
    <row r="71" spans="1:35" ht="38.25" customHeight="1" x14ac:dyDescent="0.25">
      <c r="A71" s="63" t="s">
        <v>227</v>
      </c>
      <c r="B71" s="63">
        <v>1</v>
      </c>
      <c r="C71" s="64" t="s">
        <v>149</v>
      </c>
      <c r="D71" s="51" t="s">
        <v>157</v>
      </c>
      <c r="E71" s="51">
        <v>400</v>
      </c>
      <c r="F71" s="51">
        <v>400</v>
      </c>
      <c r="G71" s="51">
        <v>0.59</v>
      </c>
      <c r="H71" s="51">
        <v>400</v>
      </c>
      <c r="I71" s="51" t="s">
        <v>151</v>
      </c>
      <c r="J71" s="51">
        <v>24</v>
      </c>
      <c r="K71" s="51">
        <v>55</v>
      </c>
      <c r="L71" s="51" t="s">
        <v>152</v>
      </c>
      <c r="M71" s="51">
        <v>180</v>
      </c>
      <c r="N71" s="51">
        <v>2.5</v>
      </c>
      <c r="O71" s="51">
        <v>26.61</v>
      </c>
      <c r="P71" s="51">
        <v>5.54</v>
      </c>
      <c r="Q71" s="51">
        <v>33.299999999999997</v>
      </c>
      <c r="R71" s="51" t="s">
        <v>180</v>
      </c>
      <c r="S71" s="51" t="s">
        <v>138</v>
      </c>
      <c r="T71" s="51" t="s">
        <v>138</v>
      </c>
      <c r="U71" s="51" t="s">
        <v>138</v>
      </c>
      <c r="V71" s="51" t="s">
        <v>138</v>
      </c>
      <c r="W71" s="51" t="s">
        <v>138</v>
      </c>
      <c r="X71" s="51" t="s">
        <v>138</v>
      </c>
      <c r="Y71" s="51" t="s">
        <v>138</v>
      </c>
      <c r="Z71" s="51" t="s">
        <v>138</v>
      </c>
      <c r="AA71" s="51" t="s">
        <v>138</v>
      </c>
      <c r="AB71" s="51" t="s">
        <v>138</v>
      </c>
      <c r="AC71" s="51" t="s">
        <v>138</v>
      </c>
      <c r="AD71" s="51" t="s">
        <v>138</v>
      </c>
      <c r="AE71" s="51" t="s">
        <v>138</v>
      </c>
      <c r="AF71" s="51" t="s">
        <v>138</v>
      </c>
      <c r="AG71" s="51" t="s">
        <v>138</v>
      </c>
      <c r="AH71" s="51" t="s">
        <v>138</v>
      </c>
      <c r="AI71" s="65" t="s">
        <v>138</v>
      </c>
    </row>
    <row r="72" spans="1:35" ht="38.25" customHeight="1" x14ac:dyDescent="0.25">
      <c r="A72" s="63" t="s">
        <v>228</v>
      </c>
      <c r="B72" s="63">
        <v>1</v>
      </c>
      <c r="C72" s="64" t="s">
        <v>149</v>
      </c>
      <c r="D72" s="51" t="s">
        <v>159</v>
      </c>
      <c r="E72" s="51">
        <v>720</v>
      </c>
      <c r="F72" s="51">
        <v>720</v>
      </c>
      <c r="G72" s="51">
        <v>0.88</v>
      </c>
      <c r="H72" s="51">
        <v>720</v>
      </c>
      <c r="I72" s="51" t="s">
        <v>151</v>
      </c>
      <c r="J72" s="51">
        <v>26</v>
      </c>
      <c r="K72" s="51">
        <v>55</v>
      </c>
      <c r="L72" s="51" t="s">
        <v>152</v>
      </c>
      <c r="M72" s="51">
        <v>180</v>
      </c>
      <c r="N72" s="51">
        <v>12</v>
      </c>
      <c r="O72" s="51">
        <v>9.7799999999999994</v>
      </c>
      <c r="P72" s="51">
        <v>11.6</v>
      </c>
      <c r="Q72" s="51">
        <v>58.8</v>
      </c>
      <c r="R72" s="51" t="s">
        <v>180</v>
      </c>
      <c r="S72" s="51" t="s">
        <v>138</v>
      </c>
      <c r="T72" s="51" t="s">
        <v>138</v>
      </c>
      <c r="U72" s="51" t="s">
        <v>138</v>
      </c>
      <c r="V72" s="51" t="s">
        <v>138</v>
      </c>
      <c r="W72" s="51" t="s">
        <v>138</v>
      </c>
      <c r="X72" s="51" t="s">
        <v>138</v>
      </c>
      <c r="Y72" s="51" t="s">
        <v>138</v>
      </c>
      <c r="Z72" s="51" t="s">
        <v>138</v>
      </c>
      <c r="AA72" s="51" t="s">
        <v>138</v>
      </c>
      <c r="AB72" s="51" t="s">
        <v>138</v>
      </c>
      <c r="AC72" s="51" t="s">
        <v>138</v>
      </c>
      <c r="AD72" s="51" t="s">
        <v>138</v>
      </c>
      <c r="AE72" s="51" t="s">
        <v>138</v>
      </c>
      <c r="AF72" s="51" t="s">
        <v>138</v>
      </c>
      <c r="AG72" s="51" t="s">
        <v>138</v>
      </c>
      <c r="AH72" s="51" t="s">
        <v>138</v>
      </c>
      <c r="AI72" s="65" t="s">
        <v>138</v>
      </c>
    </row>
    <row r="73" spans="1:35" ht="38.25" customHeight="1" x14ac:dyDescent="0.25">
      <c r="A73" s="63" t="s">
        <v>229</v>
      </c>
      <c r="B73" s="63">
        <v>1</v>
      </c>
      <c r="C73" s="64" t="s">
        <v>149</v>
      </c>
      <c r="D73" s="51" t="s">
        <v>161</v>
      </c>
      <c r="E73" s="51">
        <v>1120</v>
      </c>
      <c r="F73" s="51">
        <v>1120</v>
      </c>
      <c r="G73" s="51">
        <v>0.9</v>
      </c>
      <c r="H73" s="51">
        <v>1120</v>
      </c>
      <c r="I73" s="51" t="s">
        <v>151</v>
      </c>
      <c r="J73" s="51">
        <v>36</v>
      </c>
      <c r="K73" s="51">
        <v>55</v>
      </c>
      <c r="L73" s="51" t="s">
        <v>152</v>
      </c>
      <c r="M73" s="51">
        <v>180</v>
      </c>
      <c r="N73" s="51">
        <v>10</v>
      </c>
      <c r="O73" s="51">
        <v>17.760000000000002</v>
      </c>
      <c r="P73" s="51">
        <v>22.33</v>
      </c>
      <c r="Q73" s="51">
        <v>88.94</v>
      </c>
      <c r="R73" s="51" t="s">
        <v>180</v>
      </c>
      <c r="S73" s="51" t="s">
        <v>138</v>
      </c>
      <c r="T73" s="51" t="s">
        <v>138</v>
      </c>
      <c r="U73" s="51" t="s">
        <v>138</v>
      </c>
      <c r="V73" s="51" t="s">
        <v>138</v>
      </c>
      <c r="W73" s="51" t="s">
        <v>138</v>
      </c>
      <c r="X73" s="51" t="s">
        <v>138</v>
      </c>
      <c r="Y73" s="51" t="s">
        <v>138</v>
      </c>
      <c r="Z73" s="51" t="s">
        <v>138</v>
      </c>
      <c r="AA73" s="51" t="s">
        <v>138</v>
      </c>
      <c r="AB73" s="51" t="s">
        <v>138</v>
      </c>
      <c r="AC73" s="51" t="s">
        <v>138</v>
      </c>
      <c r="AD73" s="51" t="s">
        <v>138</v>
      </c>
      <c r="AE73" s="51" t="s">
        <v>138</v>
      </c>
      <c r="AF73" s="51" t="s">
        <v>138</v>
      </c>
      <c r="AG73" s="51" t="s">
        <v>138</v>
      </c>
      <c r="AH73" s="51" t="s">
        <v>138</v>
      </c>
      <c r="AI73" s="65" t="s">
        <v>138</v>
      </c>
    </row>
    <row r="74" spans="1:35" ht="38.25" customHeight="1" x14ac:dyDescent="0.25">
      <c r="A74" s="63" t="s">
        <v>230</v>
      </c>
      <c r="B74" s="63">
        <v>1</v>
      </c>
      <c r="C74" s="64" t="s">
        <v>149</v>
      </c>
      <c r="D74" s="51" t="s">
        <v>163</v>
      </c>
      <c r="E74" s="51">
        <v>1600</v>
      </c>
      <c r="F74" s="51">
        <v>1600</v>
      </c>
      <c r="G74" s="51">
        <v>0.91</v>
      </c>
      <c r="H74" s="51">
        <v>1600</v>
      </c>
      <c r="I74" s="51" t="s">
        <v>151</v>
      </c>
      <c r="J74" s="51">
        <v>45</v>
      </c>
      <c r="K74" s="51">
        <v>55</v>
      </c>
      <c r="L74" s="51" t="s">
        <v>152</v>
      </c>
      <c r="M74" s="51">
        <v>180</v>
      </c>
      <c r="N74" s="51">
        <v>14</v>
      </c>
      <c r="O74" s="51">
        <v>17.97</v>
      </c>
      <c r="P74" s="51">
        <v>13.03</v>
      </c>
      <c r="Q74" s="51">
        <v>125.97</v>
      </c>
      <c r="R74" s="51" t="s">
        <v>180</v>
      </c>
      <c r="S74" s="51" t="s">
        <v>138</v>
      </c>
      <c r="T74" s="51" t="s">
        <v>138</v>
      </c>
      <c r="U74" s="51" t="s">
        <v>138</v>
      </c>
      <c r="V74" s="51" t="s">
        <v>138</v>
      </c>
      <c r="W74" s="51" t="s">
        <v>138</v>
      </c>
      <c r="X74" s="51" t="s">
        <v>138</v>
      </c>
      <c r="Y74" s="51" t="s">
        <v>138</v>
      </c>
      <c r="Z74" s="51" t="s">
        <v>138</v>
      </c>
      <c r="AA74" s="51" t="s">
        <v>138</v>
      </c>
      <c r="AB74" s="51" t="s">
        <v>138</v>
      </c>
      <c r="AC74" s="51" t="s">
        <v>138</v>
      </c>
      <c r="AD74" s="51" t="s">
        <v>138</v>
      </c>
      <c r="AE74" s="51" t="s">
        <v>138</v>
      </c>
      <c r="AF74" s="51" t="s">
        <v>138</v>
      </c>
      <c r="AG74" s="51" t="s">
        <v>138</v>
      </c>
      <c r="AH74" s="51" t="s">
        <v>138</v>
      </c>
      <c r="AI74" s="65" t="s">
        <v>138</v>
      </c>
    </row>
    <row r="75" spans="1:35" ht="38.25" customHeight="1" x14ac:dyDescent="0.25">
      <c r="A75" s="63" t="s">
        <v>231</v>
      </c>
      <c r="B75" s="63">
        <v>1</v>
      </c>
      <c r="C75" s="64" t="s">
        <v>149</v>
      </c>
      <c r="D75" s="51" t="s">
        <v>165</v>
      </c>
      <c r="E75" s="51">
        <v>2400</v>
      </c>
      <c r="F75" s="51">
        <v>2400</v>
      </c>
      <c r="G75" s="51">
        <v>0.96</v>
      </c>
      <c r="H75" s="51">
        <v>2400</v>
      </c>
      <c r="I75" s="51" t="s">
        <v>151</v>
      </c>
      <c r="J75" s="51">
        <v>55</v>
      </c>
      <c r="K75" s="51">
        <v>55</v>
      </c>
      <c r="L75" s="51" t="s">
        <v>152</v>
      </c>
      <c r="M75" s="51">
        <v>180</v>
      </c>
      <c r="N75" s="51">
        <v>15</v>
      </c>
      <c r="O75" s="51">
        <v>23.98</v>
      </c>
      <c r="P75" s="51">
        <v>11.37</v>
      </c>
      <c r="Q75" s="51">
        <v>180.07</v>
      </c>
      <c r="R75" s="51" t="s">
        <v>180</v>
      </c>
      <c r="S75" s="51" t="s">
        <v>138</v>
      </c>
      <c r="T75" s="51" t="s">
        <v>138</v>
      </c>
      <c r="U75" s="51" t="s">
        <v>138</v>
      </c>
      <c r="V75" s="51" t="s">
        <v>138</v>
      </c>
      <c r="W75" s="51" t="s">
        <v>138</v>
      </c>
      <c r="X75" s="51" t="s">
        <v>138</v>
      </c>
      <c r="Y75" s="51" t="s">
        <v>138</v>
      </c>
      <c r="Z75" s="51" t="s">
        <v>138</v>
      </c>
      <c r="AA75" s="51" t="s">
        <v>138</v>
      </c>
      <c r="AB75" s="51" t="s">
        <v>138</v>
      </c>
      <c r="AC75" s="51" t="s">
        <v>138</v>
      </c>
      <c r="AD75" s="51" t="s">
        <v>138</v>
      </c>
      <c r="AE75" s="51" t="s">
        <v>138</v>
      </c>
      <c r="AF75" s="51" t="s">
        <v>138</v>
      </c>
      <c r="AG75" s="51" t="s">
        <v>138</v>
      </c>
      <c r="AH75" s="51" t="s">
        <v>138</v>
      </c>
      <c r="AI75" s="65" t="s">
        <v>138</v>
      </c>
    </row>
    <row r="76" spans="1:35" ht="38.25" customHeight="1" x14ac:dyDescent="0.25">
      <c r="A76" s="63" t="s">
        <v>232</v>
      </c>
      <c r="B76" s="63">
        <v>1</v>
      </c>
      <c r="C76" s="64" t="s">
        <v>149</v>
      </c>
      <c r="D76" s="51" t="s">
        <v>167</v>
      </c>
      <c r="E76" s="51">
        <v>3200</v>
      </c>
      <c r="F76" s="51">
        <v>3200</v>
      </c>
      <c r="G76" s="51">
        <v>1.17</v>
      </c>
      <c r="H76" s="51">
        <v>3200</v>
      </c>
      <c r="I76" s="51" t="s">
        <v>151</v>
      </c>
      <c r="J76" s="51">
        <v>61</v>
      </c>
      <c r="K76" s="51">
        <v>55</v>
      </c>
      <c r="L76" s="51" t="s">
        <v>152</v>
      </c>
      <c r="M76" s="51">
        <v>180</v>
      </c>
      <c r="N76" s="51">
        <v>17</v>
      </c>
      <c r="O76" s="51">
        <v>26.94</v>
      </c>
      <c r="P76" s="51">
        <v>15.39</v>
      </c>
      <c r="Q76" s="51">
        <v>229.23</v>
      </c>
      <c r="R76" s="51" t="s">
        <v>180</v>
      </c>
      <c r="S76" s="51" t="s">
        <v>138</v>
      </c>
      <c r="T76" s="51" t="s">
        <v>138</v>
      </c>
      <c r="U76" s="51" t="s">
        <v>138</v>
      </c>
      <c r="V76" s="51" t="s">
        <v>138</v>
      </c>
      <c r="W76" s="51" t="s">
        <v>138</v>
      </c>
      <c r="X76" s="51" t="s">
        <v>138</v>
      </c>
      <c r="Y76" s="51" t="s">
        <v>138</v>
      </c>
      <c r="Z76" s="51" t="s">
        <v>138</v>
      </c>
      <c r="AA76" s="51" t="s">
        <v>138</v>
      </c>
      <c r="AB76" s="51" t="s">
        <v>138</v>
      </c>
      <c r="AC76" s="51" t="s">
        <v>138</v>
      </c>
      <c r="AD76" s="51" t="s">
        <v>138</v>
      </c>
      <c r="AE76" s="51" t="s">
        <v>138</v>
      </c>
      <c r="AF76" s="51" t="s">
        <v>138</v>
      </c>
      <c r="AG76" s="51" t="s">
        <v>138</v>
      </c>
      <c r="AH76" s="51" t="s">
        <v>138</v>
      </c>
      <c r="AI76" s="65" t="s">
        <v>138</v>
      </c>
    </row>
    <row r="77" spans="1:35" ht="38.25" customHeight="1" x14ac:dyDescent="0.25">
      <c r="A77" s="63" t="s">
        <v>233</v>
      </c>
      <c r="B77" s="63">
        <v>1</v>
      </c>
      <c r="C77" s="64" t="s">
        <v>149</v>
      </c>
      <c r="D77" s="51" t="s">
        <v>169</v>
      </c>
      <c r="E77" s="51">
        <v>5000</v>
      </c>
      <c r="F77" s="51">
        <v>5000</v>
      </c>
      <c r="G77" s="51">
        <v>1.95</v>
      </c>
      <c r="H77" s="51">
        <v>5000</v>
      </c>
      <c r="I77" s="51" t="s">
        <v>151</v>
      </c>
      <c r="J77" s="51">
        <v>82</v>
      </c>
      <c r="K77" s="51">
        <v>55</v>
      </c>
      <c r="L77" s="51" t="s">
        <v>152</v>
      </c>
      <c r="M77" s="51">
        <v>180</v>
      </c>
      <c r="N77" s="51">
        <v>17</v>
      </c>
      <c r="O77" s="51">
        <v>35.36</v>
      </c>
      <c r="P77" s="51">
        <v>16.420000000000002</v>
      </c>
      <c r="Q77" s="51">
        <v>300.76</v>
      </c>
      <c r="R77" s="51" t="s">
        <v>180</v>
      </c>
      <c r="S77" s="51" t="s">
        <v>138</v>
      </c>
      <c r="T77" s="51" t="s">
        <v>138</v>
      </c>
      <c r="U77" s="51" t="s">
        <v>138</v>
      </c>
      <c r="V77" s="51" t="s">
        <v>138</v>
      </c>
      <c r="W77" s="51" t="s">
        <v>138</v>
      </c>
      <c r="X77" s="51" t="s">
        <v>138</v>
      </c>
      <c r="Y77" s="51" t="s">
        <v>138</v>
      </c>
      <c r="Z77" s="51" t="s">
        <v>138</v>
      </c>
      <c r="AA77" s="51" t="s">
        <v>138</v>
      </c>
      <c r="AB77" s="51" t="s">
        <v>138</v>
      </c>
      <c r="AC77" s="51" t="s">
        <v>138</v>
      </c>
      <c r="AD77" s="51" t="s">
        <v>138</v>
      </c>
      <c r="AE77" s="51" t="s">
        <v>138</v>
      </c>
      <c r="AF77" s="51" t="s">
        <v>138</v>
      </c>
      <c r="AG77" s="51" t="s">
        <v>138</v>
      </c>
      <c r="AH77" s="51" t="s">
        <v>138</v>
      </c>
      <c r="AI77" s="65" t="s">
        <v>138</v>
      </c>
    </row>
    <row r="78" spans="1:35" ht="38.25" customHeight="1" x14ac:dyDescent="0.25">
      <c r="A78" s="63" t="s">
        <v>234</v>
      </c>
      <c r="B78" s="63">
        <v>1</v>
      </c>
      <c r="C78" s="64" t="s">
        <v>235</v>
      </c>
      <c r="D78" s="51" t="s">
        <v>150</v>
      </c>
      <c r="E78" s="51">
        <v>112</v>
      </c>
      <c r="F78" s="51">
        <v>112</v>
      </c>
      <c r="G78" s="51">
        <v>0.01</v>
      </c>
      <c r="H78" s="51">
        <v>112</v>
      </c>
      <c r="I78" s="51" t="s">
        <v>236</v>
      </c>
      <c r="J78" s="51">
        <v>16</v>
      </c>
      <c r="K78" s="51">
        <v>55</v>
      </c>
      <c r="L78" s="51" t="s">
        <v>138</v>
      </c>
      <c r="M78" s="51" t="s">
        <v>138</v>
      </c>
      <c r="N78" s="51" t="s">
        <v>138</v>
      </c>
      <c r="O78" s="51" t="s">
        <v>138</v>
      </c>
      <c r="P78" s="51" t="s">
        <v>138</v>
      </c>
      <c r="Q78" s="51" t="s">
        <v>138</v>
      </c>
      <c r="R78" s="51" t="s">
        <v>138</v>
      </c>
      <c r="S78" s="51">
        <v>69</v>
      </c>
      <c r="T78" s="51">
        <v>65</v>
      </c>
      <c r="U78" s="51">
        <v>52</v>
      </c>
      <c r="V78" s="51">
        <v>50</v>
      </c>
      <c r="W78" s="51">
        <v>46</v>
      </c>
      <c r="X78" s="51">
        <v>44</v>
      </c>
      <c r="Y78" s="51">
        <v>26</v>
      </c>
      <c r="Z78" s="51">
        <v>48</v>
      </c>
      <c r="AA78" s="51">
        <v>46</v>
      </c>
      <c r="AB78" s="51">
        <v>42</v>
      </c>
      <c r="AC78" s="51">
        <v>35</v>
      </c>
      <c r="AD78" s="51">
        <v>32</v>
      </c>
      <c r="AE78" s="51">
        <v>25</v>
      </c>
      <c r="AF78" s="51">
        <v>15</v>
      </c>
      <c r="AG78" s="51">
        <v>0.75</v>
      </c>
      <c r="AH78" s="51" t="s">
        <v>237</v>
      </c>
      <c r="AI78" s="65" t="s">
        <v>238</v>
      </c>
    </row>
    <row r="79" spans="1:35" ht="38.25" customHeight="1" x14ac:dyDescent="0.25">
      <c r="A79" s="63" t="s">
        <v>239</v>
      </c>
      <c r="B79" s="63">
        <v>1</v>
      </c>
      <c r="C79" s="64" t="s">
        <v>235</v>
      </c>
      <c r="D79" s="51" t="s">
        <v>155</v>
      </c>
      <c r="E79" s="51">
        <v>175</v>
      </c>
      <c r="F79" s="51">
        <v>175</v>
      </c>
      <c r="G79" s="51">
        <v>0.01</v>
      </c>
      <c r="H79" s="51">
        <v>175</v>
      </c>
      <c r="I79" s="51" t="s">
        <v>236</v>
      </c>
      <c r="J79" s="51">
        <v>16</v>
      </c>
      <c r="K79" s="51">
        <v>55</v>
      </c>
      <c r="L79" s="51" t="s">
        <v>138</v>
      </c>
      <c r="M79" s="51" t="s">
        <v>138</v>
      </c>
      <c r="N79" s="51" t="s">
        <v>138</v>
      </c>
      <c r="O79" s="51" t="s">
        <v>138</v>
      </c>
      <c r="P79" s="51" t="s">
        <v>138</v>
      </c>
      <c r="Q79" s="51" t="s">
        <v>138</v>
      </c>
      <c r="R79" s="51" t="s">
        <v>138</v>
      </c>
      <c r="S79" s="51">
        <v>63</v>
      </c>
      <c r="T79" s="51">
        <v>61</v>
      </c>
      <c r="U79" s="51">
        <v>51</v>
      </c>
      <c r="V79" s="51">
        <v>49</v>
      </c>
      <c r="W79" s="51">
        <v>46</v>
      </c>
      <c r="X79" s="51">
        <v>44</v>
      </c>
      <c r="Y79" s="51">
        <v>20</v>
      </c>
      <c r="Z79" s="51">
        <v>48</v>
      </c>
      <c r="AA79" s="51">
        <v>45</v>
      </c>
      <c r="AB79" s="51">
        <v>40</v>
      </c>
      <c r="AC79" s="51">
        <v>34</v>
      </c>
      <c r="AD79" s="51">
        <v>28</v>
      </c>
      <c r="AE79" s="51">
        <v>24</v>
      </c>
      <c r="AF79" s="51">
        <v>15</v>
      </c>
      <c r="AG79" s="51">
        <v>0.75</v>
      </c>
      <c r="AH79" s="51" t="s">
        <v>237</v>
      </c>
      <c r="AI79" s="65" t="s">
        <v>238</v>
      </c>
    </row>
    <row r="80" spans="1:35" ht="38.25" customHeight="1" x14ac:dyDescent="0.25">
      <c r="A80" s="63" t="s">
        <v>240</v>
      </c>
      <c r="B80" s="63">
        <v>1</v>
      </c>
      <c r="C80" s="64" t="s">
        <v>235</v>
      </c>
      <c r="D80" s="51" t="s">
        <v>157</v>
      </c>
      <c r="E80" s="51">
        <v>250</v>
      </c>
      <c r="F80" s="51">
        <v>250</v>
      </c>
      <c r="G80" s="51">
        <v>0.06</v>
      </c>
      <c r="H80" s="51">
        <v>250</v>
      </c>
      <c r="I80" s="51" t="s">
        <v>236</v>
      </c>
      <c r="J80" s="51">
        <v>16</v>
      </c>
      <c r="K80" s="51">
        <v>55</v>
      </c>
      <c r="L80" s="51" t="s">
        <v>138</v>
      </c>
      <c r="M80" s="51" t="s">
        <v>138</v>
      </c>
      <c r="N80" s="51" t="s">
        <v>138</v>
      </c>
      <c r="O80" s="51" t="s">
        <v>138</v>
      </c>
      <c r="P80" s="51" t="s">
        <v>138</v>
      </c>
      <c r="Q80" s="51" t="s">
        <v>138</v>
      </c>
      <c r="R80" s="51" t="s">
        <v>138</v>
      </c>
      <c r="S80" s="51">
        <v>63</v>
      </c>
      <c r="T80" s="51">
        <v>61</v>
      </c>
      <c r="U80" s="51">
        <v>51</v>
      </c>
      <c r="V80" s="51">
        <v>49</v>
      </c>
      <c r="W80" s="51">
        <v>46</v>
      </c>
      <c r="X80" s="51">
        <v>44</v>
      </c>
      <c r="Y80" s="51">
        <v>19</v>
      </c>
      <c r="Z80" s="51">
        <v>52</v>
      </c>
      <c r="AA80" s="51">
        <v>48</v>
      </c>
      <c r="AB80" s="51">
        <v>42</v>
      </c>
      <c r="AC80" s="51">
        <v>34</v>
      </c>
      <c r="AD80" s="51">
        <v>28</v>
      </c>
      <c r="AE80" s="51">
        <v>24</v>
      </c>
      <c r="AF80" s="51">
        <v>15</v>
      </c>
      <c r="AG80" s="51">
        <v>0.75</v>
      </c>
      <c r="AH80" s="51" t="s">
        <v>237</v>
      </c>
      <c r="AI80" s="65" t="s">
        <v>238</v>
      </c>
    </row>
    <row r="81" spans="1:35" ht="38.25" customHeight="1" x14ac:dyDescent="0.25">
      <c r="A81" s="63" t="s">
        <v>241</v>
      </c>
      <c r="B81" s="63">
        <v>1</v>
      </c>
      <c r="C81" s="64" t="s">
        <v>235</v>
      </c>
      <c r="D81" s="51" t="s">
        <v>159</v>
      </c>
      <c r="E81" s="51">
        <v>450</v>
      </c>
      <c r="F81" s="51">
        <v>450</v>
      </c>
      <c r="G81" s="51">
        <v>0.03</v>
      </c>
      <c r="H81" s="51">
        <v>450</v>
      </c>
      <c r="I81" s="51" t="s">
        <v>236</v>
      </c>
      <c r="J81" s="51">
        <v>16</v>
      </c>
      <c r="K81" s="51">
        <v>55</v>
      </c>
      <c r="L81" s="51" t="s">
        <v>138</v>
      </c>
      <c r="M81" s="51" t="s">
        <v>138</v>
      </c>
      <c r="N81" s="51" t="s">
        <v>138</v>
      </c>
      <c r="O81" s="51" t="s">
        <v>138</v>
      </c>
      <c r="P81" s="51" t="s">
        <v>138</v>
      </c>
      <c r="Q81" s="51" t="s">
        <v>138</v>
      </c>
      <c r="R81" s="51" t="s">
        <v>138</v>
      </c>
      <c r="S81" s="51">
        <v>63</v>
      </c>
      <c r="T81" s="51">
        <v>61</v>
      </c>
      <c r="U81" s="51">
        <v>53</v>
      </c>
      <c r="V81" s="51">
        <v>49</v>
      </c>
      <c r="W81" s="51">
        <v>48</v>
      </c>
      <c r="X81" s="51">
        <v>48</v>
      </c>
      <c r="Y81" s="51">
        <v>19</v>
      </c>
      <c r="Z81" s="51">
        <v>49</v>
      </c>
      <c r="AA81" s="51">
        <v>45</v>
      </c>
      <c r="AB81" s="51">
        <v>43</v>
      </c>
      <c r="AC81" s="51">
        <v>36</v>
      </c>
      <c r="AD81" s="51">
        <v>32</v>
      </c>
      <c r="AE81" s="51">
        <v>26</v>
      </c>
      <c r="AF81" s="51">
        <v>16</v>
      </c>
      <c r="AG81" s="51">
        <v>0.75</v>
      </c>
      <c r="AH81" s="51" t="s">
        <v>237</v>
      </c>
      <c r="AI81" s="65" t="s">
        <v>238</v>
      </c>
    </row>
    <row r="82" spans="1:35" ht="38.25" customHeight="1" x14ac:dyDescent="0.25">
      <c r="A82" s="63" t="s">
        <v>242</v>
      </c>
      <c r="B82" s="63">
        <v>1</v>
      </c>
      <c r="C82" s="64" t="s">
        <v>235</v>
      </c>
      <c r="D82" s="51" t="s">
        <v>161</v>
      </c>
      <c r="E82" s="51">
        <v>700</v>
      </c>
      <c r="F82" s="51">
        <v>700</v>
      </c>
      <c r="G82" s="51">
        <v>0.01</v>
      </c>
      <c r="H82" s="51">
        <v>700</v>
      </c>
      <c r="I82" s="51" t="s">
        <v>236</v>
      </c>
      <c r="J82" s="51">
        <v>22</v>
      </c>
      <c r="K82" s="51">
        <v>55</v>
      </c>
      <c r="L82" s="51" t="s">
        <v>138</v>
      </c>
      <c r="M82" s="51" t="s">
        <v>138</v>
      </c>
      <c r="N82" s="51" t="s">
        <v>138</v>
      </c>
      <c r="O82" s="51" t="s">
        <v>138</v>
      </c>
      <c r="P82" s="51" t="s">
        <v>138</v>
      </c>
      <c r="Q82" s="51" t="s">
        <v>138</v>
      </c>
      <c r="R82" s="51" t="s">
        <v>138</v>
      </c>
      <c r="S82" s="51">
        <v>63</v>
      </c>
      <c r="T82" s="51">
        <v>59</v>
      </c>
      <c r="U82" s="51">
        <v>57</v>
      </c>
      <c r="V82" s="51">
        <v>55</v>
      </c>
      <c r="W82" s="51">
        <v>50</v>
      </c>
      <c r="X82" s="51">
        <v>46</v>
      </c>
      <c r="Y82" s="51">
        <v>15</v>
      </c>
      <c r="Z82" s="51">
        <v>53</v>
      </c>
      <c r="AA82" s="51">
        <v>48</v>
      </c>
      <c r="AB82" s="51">
        <v>46</v>
      </c>
      <c r="AC82" s="51">
        <v>37</v>
      </c>
      <c r="AD82" s="51">
        <v>29</v>
      </c>
      <c r="AE82" s="51">
        <v>26</v>
      </c>
      <c r="AF82" s="51">
        <v>20</v>
      </c>
      <c r="AG82" s="51">
        <v>0.75</v>
      </c>
      <c r="AH82" s="51" t="s">
        <v>237</v>
      </c>
      <c r="AI82" s="65" t="s">
        <v>238</v>
      </c>
    </row>
    <row r="83" spans="1:35" ht="38.25" customHeight="1" x14ac:dyDescent="0.25">
      <c r="A83" s="63" t="s">
        <v>243</v>
      </c>
      <c r="B83" s="63">
        <v>1</v>
      </c>
      <c r="C83" s="64" t="s">
        <v>235</v>
      </c>
      <c r="D83" s="51" t="s">
        <v>163</v>
      </c>
      <c r="E83" s="51">
        <v>1000</v>
      </c>
      <c r="F83" s="51">
        <v>1000</v>
      </c>
      <c r="G83" s="51">
        <v>0.01</v>
      </c>
      <c r="H83" s="51">
        <v>1000</v>
      </c>
      <c r="I83" s="51" t="s">
        <v>236</v>
      </c>
      <c r="J83" s="51">
        <v>27</v>
      </c>
      <c r="K83" s="51">
        <v>55</v>
      </c>
      <c r="L83" s="51" t="s">
        <v>138</v>
      </c>
      <c r="M83" s="51" t="s">
        <v>138</v>
      </c>
      <c r="N83" s="51" t="s">
        <v>138</v>
      </c>
      <c r="O83" s="51" t="s">
        <v>138</v>
      </c>
      <c r="P83" s="51" t="s">
        <v>138</v>
      </c>
      <c r="Q83" s="51" t="s">
        <v>138</v>
      </c>
      <c r="R83" s="51" t="s">
        <v>138</v>
      </c>
      <c r="S83" s="51">
        <v>62</v>
      </c>
      <c r="T83" s="51">
        <v>59</v>
      </c>
      <c r="U83" s="51">
        <v>56</v>
      </c>
      <c r="V83" s="51">
        <v>53</v>
      </c>
      <c r="W83" s="51">
        <v>52</v>
      </c>
      <c r="X83" s="51">
        <v>48</v>
      </c>
      <c r="Y83" s="51">
        <v>15</v>
      </c>
      <c r="Z83" s="51">
        <v>53</v>
      </c>
      <c r="AA83" s="51">
        <v>50</v>
      </c>
      <c r="AB83" s="51">
        <v>44</v>
      </c>
      <c r="AC83" s="51">
        <v>37</v>
      </c>
      <c r="AD83" s="51">
        <v>31</v>
      </c>
      <c r="AE83" s="51">
        <v>28</v>
      </c>
      <c r="AF83" s="51">
        <v>17</v>
      </c>
      <c r="AG83" s="51">
        <v>0.75</v>
      </c>
      <c r="AH83" s="51" t="s">
        <v>237</v>
      </c>
      <c r="AI83" s="65" t="s">
        <v>238</v>
      </c>
    </row>
    <row r="84" spans="1:35" ht="38.25" customHeight="1" x14ac:dyDescent="0.25">
      <c r="A84" s="63" t="s">
        <v>244</v>
      </c>
      <c r="B84" s="63">
        <v>1</v>
      </c>
      <c r="C84" s="64" t="s">
        <v>235</v>
      </c>
      <c r="D84" s="51" t="s">
        <v>165</v>
      </c>
      <c r="E84" s="51">
        <v>1500</v>
      </c>
      <c r="F84" s="51">
        <v>1500</v>
      </c>
      <c r="G84" s="51">
        <v>0.01</v>
      </c>
      <c r="H84" s="51">
        <v>1500</v>
      </c>
      <c r="I84" s="51" t="s">
        <v>236</v>
      </c>
      <c r="J84" s="51">
        <v>32</v>
      </c>
      <c r="K84" s="51">
        <v>55</v>
      </c>
      <c r="L84" s="51" t="s">
        <v>138</v>
      </c>
      <c r="M84" s="51" t="s">
        <v>138</v>
      </c>
      <c r="N84" s="51" t="s">
        <v>138</v>
      </c>
      <c r="O84" s="51" t="s">
        <v>138</v>
      </c>
      <c r="P84" s="51" t="s">
        <v>138</v>
      </c>
      <c r="Q84" s="51" t="s">
        <v>138</v>
      </c>
      <c r="R84" s="51" t="s">
        <v>138</v>
      </c>
      <c r="S84" s="51">
        <v>63</v>
      </c>
      <c r="T84" s="51">
        <v>59</v>
      </c>
      <c r="U84" s="51">
        <v>57</v>
      </c>
      <c r="V84" s="51">
        <v>52</v>
      </c>
      <c r="W84" s="51">
        <v>50</v>
      </c>
      <c r="X84" s="51">
        <v>46</v>
      </c>
      <c r="Y84" s="51">
        <v>15</v>
      </c>
      <c r="Z84" s="51">
        <v>53</v>
      </c>
      <c r="AA84" s="51">
        <v>51</v>
      </c>
      <c r="AB84" s="51">
        <v>41</v>
      </c>
      <c r="AC84" s="51">
        <v>35</v>
      </c>
      <c r="AD84" s="51">
        <v>28</v>
      </c>
      <c r="AE84" s="51">
        <v>25</v>
      </c>
      <c r="AF84" s="51">
        <v>19</v>
      </c>
      <c r="AG84" s="51">
        <v>0.75</v>
      </c>
      <c r="AH84" s="51" t="s">
        <v>237</v>
      </c>
      <c r="AI84" s="65" t="s">
        <v>238</v>
      </c>
    </row>
    <row r="85" spans="1:35" ht="38.25" customHeight="1" x14ac:dyDescent="0.25">
      <c r="A85" s="63" t="s">
        <v>245</v>
      </c>
      <c r="B85" s="63">
        <v>1</v>
      </c>
      <c r="C85" s="64" t="s">
        <v>235</v>
      </c>
      <c r="D85" s="51" t="s">
        <v>167</v>
      </c>
      <c r="E85" s="51">
        <v>2000</v>
      </c>
      <c r="F85" s="51">
        <v>2000</v>
      </c>
      <c r="G85" s="51">
        <v>0.01</v>
      </c>
      <c r="H85" s="51">
        <v>2000</v>
      </c>
      <c r="I85" s="51" t="s">
        <v>236</v>
      </c>
      <c r="J85" s="51">
        <v>35</v>
      </c>
      <c r="K85" s="51">
        <v>55</v>
      </c>
      <c r="L85" s="51" t="s">
        <v>138</v>
      </c>
      <c r="M85" s="51" t="s">
        <v>138</v>
      </c>
      <c r="N85" s="51" t="s">
        <v>138</v>
      </c>
      <c r="O85" s="51" t="s">
        <v>138</v>
      </c>
      <c r="P85" s="51" t="s">
        <v>138</v>
      </c>
      <c r="Q85" s="51" t="s">
        <v>138</v>
      </c>
      <c r="R85" s="51" t="s">
        <v>138</v>
      </c>
      <c r="S85" s="51">
        <v>63</v>
      </c>
      <c r="T85" s="51">
        <v>59</v>
      </c>
      <c r="U85" s="51">
        <v>57</v>
      </c>
      <c r="V85" s="51">
        <v>54</v>
      </c>
      <c r="W85" s="51">
        <v>52</v>
      </c>
      <c r="X85" s="51">
        <v>47</v>
      </c>
      <c r="Y85" s="51">
        <v>15</v>
      </c>
      <c r="Z85" s="51">
        <v>53</v>
      </c>
      <c r="AA85" s="51">
        <v>51</v>
      </c>
      <c r="AB85" s="51">
        <v>44</v>
      </c>
      <c r="AC85" s="51">
        <v>38</v>
      </c>
      <c r="AD85" s="51">
        <v>32</v>
      </c>
      <c r="AE85" s="51">
        <v>27</v>
      </c>
      <c r="AF85" s="51">
        <v>19</v>
      </c>
      <c r="AG85" s="51">
        <v>0.75</v>
      </c>
      <c r="AH85" s="51" t="s">
        <v>237</v>
      </c>
      <c r="AI85" s="65" t="s">
        <v>238</v>
      </c>
    </row>
    <row r="86" spans="1:35" ht="38.25" customHeight="1" x14ac:dyDescent="0.25">
      <c r="A86" s="63" t="s">
        <v>246</v>
      </c>
      <c r="B86" s="63">
        <v>1</v>
      </c>
      <c r="C86" s="64" t="s">
        <v>235</v>
      </c>
      <c r="D86" s="51" t="s">
        <v>169</v>
      </c>
      <c r="E86" s="51">
        <v>4000</v>
      </c>
      <c r="F86" s="51">
        <v>4000</v>
      </c>
      <c r="G86" s="51">
        <v>0.08</v>
      </c>
      <c r="H86" s="51">
        <v>4000</v>
      </c>
      <c r="I86" s="51" t="s">
        <v>236</v>
      </c>
      <c r="J86" s="51">
        <v>52</v>
      </c>
      <c r="K86" s="51">
        <v>55</v>
      </c>
      <c r="L86" s="51" t="s">
        <v>138</v>
      </c>
      <c r="M86" s="51" t="s">
        <v>138</v>
      </c>
      <c r="N86" s="51" t="s">
        <v>138</v>
      </c>
      <c r="O86" s="51" t="s">
        <v>138</v>
      </c>
      <c r="P86" s="51" t="s">
        <v>138</v>
      </c>
      <c r="Q86" s="51" t="s">
        <v>138</v>
      </c>
      <c r="R86" s="51" t="s">
        <v>138</v>
      </c>
      <c r="S86" s="51">
        <v>75</v>
      </c>
      <c r="T86" s="51">
        <v>74</v>
      </c>
      <c r="U86" s="51">
        <v>68</v>
      </c>
      <c r="V86" s="51">
        <v>65</v>
      </c>
      <c r="W86" s="51">
        <v>62</v>
      </c>
      <c r="X86" s="51">
        <v>58</v>
      </c>
      <c r="Y86" s="51">
        <v>34</v>
      </c>
      <c r="Z86" s="51">
        <v>69</v>
      </c>
      <c r="AA86" s="51">
        <v>69</v>
      </c>
      <c r="AB86" s="51">
        <v>60</v>
      </c>
      <c r="AC86" s="51">
        <v>52</v>
      </c>
      <c r="AD86" s="51">
        <v>44</v>
      </c>
      <c r="AE86" s="51">
        <v>36</v>
      </c>
      <c r="AF86" s="51">
        <v>40</v>
      </c>
      <c r="AG86" s="51">
        <v>0.75</v>
      </c>
      <c r="AH86" s="51" t="s">
        <v>237</v>
      </c>
      <c r="AI86" s="65" t="s">
        <v>238</v>
      </c>
    </row>
    <row r="87" spans="1:35" ht="38.25" customHeight="1" x14ac:dyDescent="0.25">
      <c r="A87" s="63" t="s">
        <v>247</v>
      </c>
      <c r="B87" s="63">
        <v>1</v>
      </c>
      <c r="C87" s="64" t="s">
        <v>235</v>
      </c>
      <c r="D87" s="51" t="s">
        <v>150</v>
      </c>
      <c r="E87" s="51">
        <v>180</v>
      </c>
      <c r="F87" s="51">
        <v>180</v>
      </c>
      <c r="G87" s="51">
        <v>0.01</v>
      </c>
      <c r="H87" s="51">
        <v>180</v>
      </c>
      <c r="I87" s="51" t="s">
        <v>236</v>
      </c>
      <c r="J87" s="51">
        <v>16</v>
      </c>
      <c r="K87" s="51">
        <v>55</v>
      </c>
      <c r="L87" s="51" t="s">
        <v>138</v>
      </c>
      <c r="M87" s="51" t="s">
        <v>138</v>
      </c>
      <c r="N87" s="51" t="s">
        <v>138</v>
      </c>
      <c r="O87" s="51" t="s">
        <v>138</v>
      </c>
      <c r="P87" s="51" t="s">
        <v>138</v>
      </c>
      <c r="Q87" s="51" t="s">
        <v>138</v>
      </c>
      <c r="R87" s="51" t="s">
        <v>138</v>
      </c>
      <c r="S87" s="51">
        <v>72</v>
      </c>
      <c r="T87" s="51">
        <v>69</v>
      </c>
      <c r="U87" s="51">
        <v>54</v>
      </c>
      <c r="V87" s="51">
        <v>54</v>
      </c>
      <c r="W87" s="51">
        <v>50</v>
      </c>
      <c r="X87" s="51">
        <v>48</v>
      </c>
      <c r="Y87" s="51">
        <v>30</v>
      </c>
      <c r="Z87" s="51">
        <v>51</v>
      </c>
      <c r="AA87" s="51">
        <v>49</v>
      </c>
      <c r="AB87" s="51">
        <v>45</v>
      </c>
      <c r="AC87" s="51">
        <v>39</v>
      </c>
      <c r="AD87" s="51">
        <v>34</v>
      </c>
      <c r="AE87" s="51">
        <v>28</v>
      </c>
      <c r="AF87" s="51">
        <v>19</v>
      </c>
      <c r="AG87" s="51">
        <v>0.75</v>
      </c>
      <c r="AH87" s="51" t="s">
        <v>237</v>
      </c>
      <c r="AI87" s="65" t="s">
        <v>238</v>
      </c>
    </row>
    <row r="88" spans="1:35" ht="38.25" customHeight="1" x14ac:dyDescent="0.25">
      <c r="A88" s="63" t="s">
        <v>248</v>
      </c>
      <c r="B88" s="63">
        <v>1</v>
      </c>
      <c r="C88" s="64" t="s">
        <v>235</v>
      </c>
      <c r="D88" s="51" t="s">
        <v>155</v>
      </c>
      <c r="E88" s="51">
        <v>280</v>
      </c>
      <c r="F88" s="51">
        <v>280</v>
      </c>
      <c r="G88" s="51">
        <v>0.01</v>
      </c>
      <c r="H88" s="51">
        <v>280</v>
      </c>
      <c r="I88" s="51" t="s">
        <v>236</v>
      </c>
      <c r="J88" s="51">
        <v>16</v>
      </c>
      <c r="K88" s="51">
        <v>55</v>
      </c>
      <c r="L88" s="51" t="s">
        <v>138</v>
      </c>
      <c r="M88" s="51" t="s">
        <v>138</v>
      </c>
      <c r="N88" s="51" t="s">
        <v>138</v>
      </c>
      <c r="O88" s="51" t="s">
        <v>138</v>
      </c>
      <c r="P88" s="51" t="s">
        <v>138</v>
      </c>
      <c r="Q88" s="51" t="s">
        <v>138</v>
      </c>
      <c r="R88" s="51" t="s">
        <v>138</v>
      </c>
      <c r="S88" s="51">
        <v>68</v>
      </c>
      <c r="T88" s="51">
        <v>64</v>
      </c>
      <c r="U88" s="51">
        <v>54</v>
      </c>
      <c r="V88" s="51">
        <v>53</v>
      </c>
      <c r="W88" s="51">
        <v>49</v>
      </c>
      <c r="X88" s="51">
        <v>47</v>
      </c>
      <c r="Y88" s="51">
        <v>25</v>
      </c>
      <c r="Z88" s="51">
        <v>50</v>
      </c>
      <c r="AA88" s="51">
        <v>47</v>
      </c>
      <c r="AB88" s="51">
        <v>43</v>
      </c>
      <c r="AC88" s="51">
        <v>37</v>
      </c>
      <c r="AD88" s="51">
        <v>31</v>
      </c>
      <c r="AE88" s="51">
        <v>26</v>
      </c>
      <c r="AF88" s="51">
        <v>16</v>
      </c>
      <c r="AG88" s="51">
        <v>0.75</v>
      </c>
      <c r="AH88" s="51" t="s">
        <v>237</v>
      </c>
      <c r="AI88" s="65" t="s">
        <v>238</v>
      </c>
    </row>
    <row r="89" spans="1:35" ht="38.25" customHeight="1" x14ac:dyDescent="0.25">
      <c r="A89" s="63" t="s">
        <v>249</v>
      </c>
      <c r="B89" s="63">
        <v>1</v>
      </c>
      <c r="C89" s="64" t="s">
        <v>235</v>
      </c>
      <c r="D89" s="51" t="s">
        <v>157</v>
      </c>
      <c r="E89" s="51">
        <v>400</v>
      </c>
      <c r="F89" s="51">
        <v>400</v>
      </c>
      <c r="G89" s="51">
        <v>0.14000000000000001</v>
      </c>
      <c r="H89" s="51">
        <v>400</v>
      </c>
      <c r="I89" s="51" t="s">
        <v>236</v>
      </c>
      <c r="J89" s="51">
        <v>16</v>
      </c>
      <c r="K89" s="51">
        <v>55</v>
      </c>
      <c r="L89" s="51" t="s">
        <v>138</v>
      </c>
      <c r="M89" s="51" t="s">
        <v>138</v>
      </c>
      <c r="N89" s="51" t="s">
        <v>138</v>
      </c>
      <c r="O89" s="51" t="s">
        <v>138</v>
      </c>
      <c r="P89" s="51" t="s">
        <v>138</v>
      </c>
      <c r="Q89" s="51" t="s">
        <v>138</v>
      </c>
      <c r="R89" s="51" t="s">
        <v>138</v>
      </c>
      <c r="S89" s="51">
        <v>68</v>
      </c>
      <c r="T89" s="51">
        <v>63</v>
      </c>
      <c r="U89" s="51">
        <v>54</v>
      </c>
      <c r="V89" s="51">
        <v>52</v>
      </c>
      <c r="W89" s="51">
        <v>48</v>
      </c>
      <c r="X89" s="51">
        <v>46</v>
      </c>
      <c r="Y89" s="51">
        <v>21</v>
      </c>
      <c r="Z89" s="51">
        <v>56</v>
      </c>
      <c r="AA89" s="51">
        <v>51</v>
      </c>
      <c r="AB89" s="51">
        <v>46</v>
      </c>
      <c r="AC89" s="51">
        <v>38</v>
      </c>
      <c r="AD89" s="51">
        <v>30</v>
      </c>
      <c r="AE89" s="51">
        <v>26</v>
      </c>
      <c r="AF89" s="51">
        <v>20</v>
      </c>
      <c r="AG89" s="51">
        <v>0.75</v>
      </c>
      <c r="AH89" s="51" t="s">
        <v>237</v>
      </c>
      <c r="AI89" s="65" t="s">
        <v>238</v>
      </c>
    </row>
    <row r="90" spans="1:35" ht="38.25" customHeight="1" x14ac:dyDescent="0.25">
      <c r="A90" s="63" t="s">
        <v>250</v>
      </c>
      <c r="B90" s="63">
        <v>1</v>
      </c>
      <c r="C90" s="64" t="s">
        <v>235</v>
      </c>
      <c r="D90" s="51" t="s">
        <v>159</v>
      </c>
      <c r="E90" s="51">
        <v>720</v>
      </c>
      <c r="F90" s="51">
        <v>720</v>
      </c>
      <c r="G90" s="51">
        <v>0.05</v>
      </c>
      <c r="H90" s="51">
        <v>720</v>
      </c>
      <c r="I90" s="51" t="s">
        <v>236</v>
      </c>
      <c r="J90" s="51">
        <v>16</v>
      </c>
      <c r="K90" s="51">
        <v>55</v>
      </c>
      <c r="L90" s="51" t="s">
        <v>138</v>
      </c>
      <c r="M90" s="51" t="s">
        <v>138</v>
      </c>
      <c r="N90" s="51" t="s">
        <v>138</v>
      </c>
      <c r="O90" s="51" t="s">
        <v>138</v>
      </c>
      <c r="P90" s="51" t="s">
        <v>138</v>
      </c>
      <c r="Q90" s="51" t="s">
        <v>138</v>
      </c>
      <c r="R90" s="51" t="s">
        <v>138</v>
      </c>
      <c r="S90" s="51">
        <v>67</v>
      </c>
      <c r="T90" s="51">
        <v>63</v>
      </c>
      <c r="U90" s="51">
        <v>57</v>
      </c>
      <c r="V90" s="51">
        <v>54</v>
      </c>
      <c r="W90" s="51">
        <v>51</v>
      </c>
      <c r="X90" s="51">
        <v>51</v>
      </c>
      <c r="Y90" s="51">
        <v>21</v>
      </c>
      <c r="Z90" s="51">
        <v>53</v>
      </c>
      <c r="AA90" s="51">
        <v>49</v>
      </c>
      <c r="AB90" s="51">
        <v>47</v>
      </c>
      <c r="AC90" s="51">
        <v>40</v>
      </c>
      <c r="AD90" s="51">
        <v>36</v>
      </c>
      <c r="AE90" s="51">
        <v>30</v>
      </c>
      <c r="AF90" s="51">
        <v>21</v>
      </c>
      <c r="AG90" s="51">
        <v>0.75</v>
      </c>
      <c r="AH90" s="51" t="s">
        <v>237</v>
      </c>
      <c r="AI90" s="65" t="s">
        <v>238</v>
      </c>
    </row>
    <row r="91" spans="1:35" ht="38.25" customHeight="1" x14ac:dyDescent="0.25">
      <c r="A91" s="63" t="s">
        <v>251</v>
      </c>
      <c r="B91" s="63">
        <v>1</v>
      </c>
      <c r="C91" s="64" t="s">
        <v>235</v>
      </c>
      <c r="D91" s="51" t="s">
        <v>161</v>
      </c>
      <c r="E91" s="51">
        <v>1120</v>
      </c>
      <c r="F91" s="51">
        <v>1120</v>
      </c>
      <c r="G91" s="51">
        <v>0.01</v>
      </c>
      <c r="H91" s="51">
        <v>1120</v>
      </c>
      <c r="I91" s="51" t="s">
        <v>236</v>
      </c>
      <c r="J91" s="51">
        <v>22</v>
      </c>
      <c r="K91" s="51">
        <v>55</v>
      </c>
      <c r="L91" s="51" t="s">
        <v>138</v>
      </c>
      <c r="M91" s="51" t="s">
        <v>138</v>
      </c>
      <c r="N91" s="51" t="s">
        <v>138</v>
      </c>
      <c r="O91" s="51" t="s">
        <v>138</v>
      </c>
      <c r="P91" s="51" t="s">
        <v>138</v>
      </c>
      <c r="Q91" s="51" t="s">
        <v>138</v>
      </c>
      <c r="R91" s="51" t="s">
        <v>138</v>
      </c>
      <c r="S91" s="51">
        <v>69</v>
      </c>
      <c r="T91" s="51">
        <v>63</v>
      </c>
      <c r="U91" s="51">
        <v>61</v>
      </c>
      <c r="V91" s="51">
        <v>58</v>
      </c>
      <c r="W91" s="51">
        <v>53</v>
      </c>
      <c r="X91" s="51">
        <v>50</v>
      </c>
      <c r="Y91" s="51">
        <v>20</v>
      </c>
      <c r="Z91" s="51">
        <v>60</v>
      </c>
      <c r="AA91" s="51">
        <v>53</v>
      </c>
      <c r="AB91" s="51">
        <v>49</v>
      </c>
      <c r="AC91" s="51">
        <v>41</v>
      </c>
      <c r="AD91" s="51">
        <v>33</v>
      </c>
      <c r="AE91" s="51">
        <v>28</v>
      </c>
      <c r="AF91" s="51">
        <v>23</v>
      </c>
      <c r="AG91" s="51">
        <v>0.75</v>
      </c>
      <c r="AH91" s="51" t="s">
        <v>237</v>
      </c>
      <c r="AI91" s="65" t="s">
        <v>238</v>
      </c>
    </row>
    <row r="92" spans="1:35" ht="38.25" customHeight="1" x14ac:dyDescent="0.25">
      <c r="A92" s="63" t="s">
        <v>252</v>
      </c>
      <c r="B92" s="63">
        <v>1</v>
      </c>
      <c r="C92" s="64" t="s">
        <v>235</v>
      </c>
      <c r="D92" s="51" t="s">
        <v>163</v>
      </c>
      <c r="E92" s="51">
        <v>1600</v>
      </c>
      <c r="F92" s="51">
        <v>1600</v>
      </c>
      <c r="G92" s="51">
        <v>0.01</v>
      </c>
      <c r="H92" s="51">
        <v>1600</v>
      </c>
      <c r="I92" s="51" t="s">
        <v>236</v>
      </c>
      <c r="J92" s="51">
        <v>27</v>
      </c>
      <c r="K92" s="51">
        <v>55</v>
      </c>
      <c r="L92" s="51" t="s">
        <v>138</v>
      </c>
      <c r="M92" s="51" t="s">
        <v>138</v>
      </c>
      <c r="N92" s="51" t="s">
        <v>138</v>
      </c>
      <c r="O92" s="51" t="s">
        <v>138</v>
      </c>
      <c r="P92" s="51" t="s">
        <v>138</v>
      </c>
      <c r="Q92" s="51" t="s">
        <v>138</v>
      </c>
      <c r="R92" s="51" t="s">
        <v>138</v>
      </c>
      <c r="S92" s="51">
        <v>66</v>
      </c>
      <c r="T92" s="51">
        <v>62</v>
      </c>
      <c r="U92" s="51">
        <v>60</v>
      </c>
      <c r="V92" s="51">
        <v>56</v>
      </c>
      <c r="W92" s="51">
        <v>54</v>
      </c>
      <c r="X92" s="51">
        <v>50</v>
      </c>
      <c r="Y92" s="51">
        <v>19</v>
      </c>
      <c r="Z92" s="51">
        <v>60</v>
      </c>
      <c r="AA92" s="51">
        <v>54</v>
      </c>
      <c r="AB92" s="51">
        <v>48</v>
      </c>
      <c r="AC92" s="51">
        <v>40</v>
      </c>
      <c r="AD92" s="51">
        <v>34</v>
      </c>
      <c r="AE92" s="51">
        <v>30</v>
      </c>
      <c r="AF92" s="51">
        <v>22</v>
      </c>
      <c r="AG92" s="51">
        <v>0.75</v>
      </c>
      <c r="AH92" s="51" t="s">
        <v>237</v>
      </c>
      <c r="AI92" s="65" t="s">
        <v>238</v>
      </c>
    </row>
    <row r="93" spans="1:35" ht="38.25" customHeight="1" x14ac:dyDescent="0.25">
      <c r="A93" s="63" t="s">
        <v>253</v>
      </c>
      <c r="B93" s="63">
        <v>1</v>
      </c>
      <c r="C93" s="64" t="s">
        <v>235</v>
      </c>
      <c r="D93" s="51" t="s">
        <v>165</v>
      </c>
      <c r="E93" s="51">
        <v>2400</v>
      </c>
      <c r="F93" s="51">
        <v>2400</v>
      </c>
      <c r="G93" s="51">
        <v>0.01</v>
      </c>
      <c r="H93" s="51">
        <v>2400</v>
      </c>
      <c r="I93" s="51" t="s">
        <v>236</v>
      </c>
      <c r="J93" s="51">
        <v>32</v>
      </c>
      <c r="K93" s="51">
        <v>55</v>
      </c>
      <c r="L93" s="51" t="s">
        <v>138</v>
      </c>
      <c r="M93" s="51" t="s">
        <v>138</v>
      </c>
      <c r="N93" s="51" t="s">
        <v>138</v>
      </c>
      <c r="O93" s="51" t="s">
        <v>138</v>
      </c>
      <c r="P93" s="51" t="s">
        <v>138</v>
      </c>
      <c r="Q93" s="51" t="s">
        <v>138</v>
      </c>
      <c r="R93" s="51" t="s">
        <v>138</v>
      </c>
      <c r="S93" s="51">
        <v>68</v>
      </c>
      <c r="T93" s="51">
        <v>65</v>
      </c>
      <c r="U93" s="51">
        <v>63</v>
      </c>
      <c r="V93" s="51">
        <v>56</v>
      </c>
      <c r="W93" s="51">
        <v>53</v>
      </c>
      <c r="X93" s="51">
        <v>50</v>
      </c>
      <c r="Y93" s="51">
        <v>22</v>
      </c>
      <c r="Z93" s="51">
        <v>59</v>
      </c>
      <c r="AA93" s="51">
        <v>57</v>
      </c>
      <c r="AB93" s="51">
        <v>48</v>
      </c>
      <c r="AC93" s="51">
        <v>39</v>
      </c>
      <c r="AD93" s="51">
        <v>31</v>
      </c>
      <c r="AE93" s="51">
        <v>28</v>
      </c>
      <c r="AF93" s="51">
        <v>26</v>
      </c>
      <c r="AG93" s="51">
        <v>0.75</v>
      </c>
      <c r="AH93" s="51" t="s">
        <v>237</v>
      </c>
      <c r="AI93" s="65" t="s">
        <v>238</v>
      </c>
    </row>
    <row r="94" spans="1:35" ht="38.25" customHeight="1" x14ac:dyDescent="0.25">
      <c r="A94" s="63" t="s">
        <v>254</v>
      </c>
      <c r="B94" s="63">
        <v>1</v>
      </c>
      <c r="C94" s="64" t="s">
        <v>235</v>
      </c>
      <c r="D94" s="51" t="s">
        <v>167</v>
      </c>
      <c r="E94" s="51">
        <v>3200</v>
      </c>
      <c r="F94" s="51">
        <v>3200</v>
      </c>
      <c r="G94" s="51">
        <v>0.01</v>
      </c>
      <c r="H94" s="51">
        <v>3200</v>
      </c>
      <c r="I94" s="51" t="s">
        <v>236</v>
      </c>
      <c r="J94" s="51">
        <v>35</v>
      </c>
      <c r="K94" s="51">
        <v>55</v>
      </c>
      <c r="L94" s="51" t="s">
        <v>138</v>
      </c>
      <c r="M94" s="51" t="s">
        <v>138</v>
      </c>
      <c r="N94" s="51" t="s">
        <v>138</v>
      </c>
      <c r="O94" s="51" t="s">
        <v>138</v>
      </c>
      <c r="P94" s="51" t="s">
        <v>138</v>
      </c>
      <c r="Q94" s="51" t="s">
        <v>138</v>
      </c>
      <c r="R94" s="51" t="s">
        <v>138</v>
      </c>
      <c r="S94" s="51">
        <v>68</v>
      </c>
      <c r="T94" s="51">
        <v>66</v>
      </c>
      <c r="U94" s="51">
        <v>65</v>
      </c>
      <c r="V94" s="51">
        <v>59</v>
      </c>
      <c r="W94" s="51">
        <v>56</v>
      </c>
      <c r="X94" s="51">
        <v>53</v>
      </c>
      <c r="Y94" s="51">
        <v>24</v>
      </c>
      <c r="Z94" s="51">
        <v>59</v>
      </c>
      <c r="AA94" s="51">
        <v>58</v>
      </c>
      <c r="AB94" s="51">
        <v>51</v>
      </c>
      <c r="AC94" s="51">
        <v>42</v>
      </c>
      <c r="AD94" s="51">
        <v>36</v>
      </c>
      <c r="AE94" s="51">
        <v>31</v>
      </c>
      <c r="AF94" s="51">
        <v>27</v>
      </c>
      <c r="AG94" s="51">
        <v>0.75</v>
      </c>
      <c r="AH94" s="51" t="s">
        <v>237</v>
      </c>
      <c r="AI94" s="65" t="s">
        <v>238</v>
      </c>
    </row>
    <row r="95" spans="1:35" ht="38.25" customHeight="1" thickBot="1" x14ac:dyDescent="0.3">
      <c r="A95" s="66" t="s">
        <v>255</v>
      </c>
      <c r="B95" s="66">
        <v>1</v>
      </c>
      <c r="C95" s="67" t="s">
        <v>235</v>
      </c>
      <c r="D95" s="68" t="s">
        <v>169</v>
      </c>
      <c r="E95" s="68">
        <v>6400</v>
      </c>
      <c r="F95" s="68">
        <v>6400</v>
      </c>
      <c r="G95" s="68">
        <v>0.23</v>
      </c>
      <c r="H95" s="68">
        <v>6400</v>
      </c>
      <c r="I95" s="68" t="s">
        <v>236</v>
      </c>
      <c r="J95" s="68">
        <v>52</v>
      </c>
      <c r="K95" s="68">
        <v>55</v>
      </c>
      <c r="L95" s="68" t="s">
        <v>138</v>
      </c>
      <c r="M95" s="68" t="s">
        <v>138</v>
      </c>
      <c r="N95" s="68" t="s">
        <v>138</v>
      </c>
      <c r="O95" s="68" t="s">
        <v>138</v>
      </c>
      <c r="P95" s="68" t="s">
        <v>138</v>
      </c>
      <c r="Q95" s="68" t="s">
        <v>138</v>
      </c>
      <c r="R95" s="68" t="s">
        <v>138</v>
      </c>
      <c r="S95" s="68">
        <v>75</v>
      </c>
      <c r="T95" s="68">
        <v>74</v>
      </c>
      <c r="U95" s="68">
        <v>72</v>
      </c>
      <c r="V95" s="68">
        <v>69</v>
      </c>
      <c r="W95" s="68">
        <v>65</v>
      </c>
      <c r="X95" s="68">
        <v>63</v>
      </c>
      <c r="Y95" s="68">
        <v>34</v>
      </c>
      <c r="Z95" s="68">
        <v>71</v>
      </c>
      <c r="AA95" s="68">
        <v>70</v>
      </c>
      <c r="AB95" s="68">
        <v>65</v>
      </c>
      <c r="AC95" s="68">
        <v>55</v>
      </c>
      <c r="AD95" s="68">
        <v>48</v>
      </c>
      <c r="AE95" s="68">
        <v>41</v>
      </c>
      <c r="AF95" s="68">
        <v>41</v>
      </c>
      <c r="AG95" s="68">
        <v>0.75</v>
      </c>
      <c r="AH95" s="68" t="s">
        <v>237</v>
      </c>
      <c r="AI95" s="69" t="s">
        <v>238</v>
      </c>
    </row>
  </sheetData>
  <mergeCells count="5">
    <mergeCell ref="A1:AI1"/>
    <mergeCell ref="A2:AI2"/>
    <mergeCell ref="A3:A5"/>
    <mergeCell ref="B3:B5"/>
    <mergeCell ref="C3:A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Single Duct Quick Select</vt:lpstr>
      <vt:lpstr>Fan Powered Quick Select</vt:lpstr>
      <vt:lpstr>FP Background Data</vt:lpstr>
      <vt:lpstr>VPWF Data</vt:lpstr>
      <vt:lpstr>VSWF Data</vt:lpstr>
      <vt:lpstr>FP Acoustics</vt:lpstr>
      <vt:lpstr>SD Background Data</vt:lpstr>
      <vt:lpstr>VCWF Data</vt:lpstr>
      <vt:lpstr>SD TOPSS Source Data</vt:lpstr>
    </vt:vector>
  </TitlesOfParts>
  <Company>Ingersoll Rand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Gruber, John</dc:creator>
  <cp:lastModifiedBy>Puckett, Jonathan</cp:lastModifiedBy>
  <dcterms:created xsi:type="dcterms:W3CDTF">2020-01-10T19:26:55Z</dcterms:created>
  <dcterms:modified xsi:type="dcterms:W3CDTF">2020-11-17T13:44:03Z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45e5df26-3c41-47c6-ac39-236c574ade73</vt:lpwstr>
  </property>
  <property fmtid="{D5CDD505-2E9C-101B-9397-08002B2CF9AE}" pid="3" name="CLASSIFICATION">
    <vt:lpwstr>TT-DC-3</vt:lpwstr>
  </property>
</Properties>
</file>